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1190" windowHeight="4995" activeTab="1"/>
  </bookViews>
  <sheets>
    <sheet name="Sheet1" sheetId="2" r:id="rId1"/>
    <sheet name="without schools not receiving $" sheetId="3" r:id="rId2"/>
  </sheets>
  <definedNames>
    <definedName name="_xlnm._FilterDatabase" localSheetId="1" hidden="1">'without schools not receiving $'!$A$1:$P$1</definedName>
    <definedName name="_xlnm.Print_Titles" localSheetId="0">Sheet1!$1:$1</definedName>
    <definedName name="_xlnm.Print_Titles" localSheetId="1">'without schools not receiving $'!$1:$1</definedName>
  </definedNames>
  <calcPr calcId="125725"/>
</workbook>
</file>

<file path=xl/calcChain.xml><?xml version="1.0" encoding="utf-8"?>
<calcChain xmlns="http://schemas.openxmlformats.org/spreadsheetml/2006/main">
  <c r="O3" i="3"/>
  <c r="O4"/>
  <c r="O5"/>
  <c r="O6"/>
  <c r="O7"/>
  <c r="O8"/>
  <c r="O9"/>
  <c r="O10"/>
  <c r="O11"/>
  <c r="O15"/>
  <c r="O16"/>
  <c r="O17"/>
  <c r="O18"/>
  <c r="O19"/>
  <c r="O20"/>
  <c r="O21"/>
  <c r="O22"/>
  <c r="O23"/>
  <c r="O24"/>
  <c r="O26"/>
  <c r="O29"/>
  <c r="O31"/>
  <c r="O32"/>
  <c r="O34"/>
  <c r="O35"/>
  <c r="O36"/>
  <c r="O37"/>
  <c r="O38"/>
  <c r="O39"/>
  <c r="O41"/>
  <c r="O42"/>
  <c r="O43"/>
  <c r="O46"/>
  <c r="O48"/>
  <c r="O49"/>
  <c r="O50"/>
  <c r="O51"/>
  <c r="O52"/>
  <c r="O53"/>
  <c r="O54"/>
  <c r="O55"/>
  <c r="O56"/>
  <c r="O57"/>
  <c r="O58"/>
  <c r="O59"/>
  <c r="O61"/>
  <c r="O63"/>
  <c r="O65"/>
  <c r="O67"/>
  <c r="O70"/>
  <c r="O73"/>
  <c r="O74"/>
  <c r="O75"/>
  <c r="O76"/>
  <c r="O77"/>
  <c r="O78"/>
  <c r="O79"/>
  <c r="O80"/>
  <c r="O81"/>
  <c r="O82"/>
  <c r="O83"/>
  <c r="O84"/>
  <c r="O86"/>
  <c r="O88"/>
  <c r="O89"/>
  <c r="O90"/>
  <c r="O91"/>
  <c r="O92"/>
  <c r="O93"/>
  <c r="O94"/>
  <c r="O95"/>
  <c r="O97"/>
  <c r="O98"/>
  <c r="O99"/>
  <c r="O100"/>
  <c r="O101"/>
  <c r="O103"/>
  <c r="O104"/>
  <c r="O106"/>
  <c r="O107"/>
  <c r="O108"/>
  <c r="O109"/>
  <c r="O110"/>
  <c r="O111"/>
  <c r="O113"/>
  <c r="O115"/>
  <c r="O116"/>
  <c r="O118"/>
  <c r="O120"/>
  <c r="O122"/>
  <c r="O123"/>
  <c r="O124"/>
  <c r="O125"/>
  <c r="O126"/>
  <c r="O127"/>
  <c r="O129"/>
  <c r="O130"/>
  <c r="O131"/>
  <c r="O133"/>
  <c r="O135"/>
  <c r="O136"/>
  <c r="O137"/>
  <c r="O138"/>
  <c r="O139"/>
  <c r="O142"/>
  <c r="O143"/>
  <c r="O144"/>
  <c r="O145"/>
  <c r="O147"/>
  <c r="O148"/>
  <c r="O149"/>
  <c r="O150"/>
  <c r="O151"/>
  <c r="O152"/>
  <c r="O155"/>
  <c r="O156"/>
  <c r="O157"/>
  <c r="O158"/>
  <c r="O161"/>
  <c r="O162"/>
  <c r="O163"/>
  <c r="O164"/>
  <c r="O165"/>
  <c r="O166"/>
  <c r="O169"/>
  <c r="O170"/>
  <c r="O171"/>
  <c r="O172"/>
  <c r="O173"/>
  <c r="O176"/>
  <c r="O177"/>
  <c r="O178"/>
  <c r="O181"/>
  <c r="O183"/>
  <c r="O185"/>
  <c r="O186"/>
  <c r="O187"/>
  <c r="O188"/>
  <c r="O189"/>
  <c r="O190"/>
  <c r="O191"/>
  <c r="O192"/>
  <c r="O193"/>
  <c r="O194"/>
  <c r="O195"/>
  <c r="O196"/>
  <c r="O198"/>
  <c r="O199"/>
  <c r="O200"/>
  <c r="O201"/>
  <c r="O202"/>
  <c r="O204"/>
  <c r="O205"/>
  <c r="O206"/>
  <c r="O207"/>
  <c r="O208"/>
  <c r="O209"/>
  <c r="O210"/>
  <c r="O211"/>
  <c r="O212"/>
  <c r="O213"/>
  <c r="O214"/>
  <c r="O217"/>
  <c r="O219"/>
  <c r="O220"/>
  <c r="O221"/>
  <c r="O223"/>
  <c r="O225"/>
  <c r="O226"/>
  <c r="O227"/>
  <c r="O228"/>
  <c r="O231"/>
  <c r="O232"/>
  <c r="O234"/>
  <c r="O236"/>
  <c r="O237"/>
  <c r="O238"/>
  <c r="O239"/>
  <c r="O240"/>
  <c r="O241"/>
  <c r="O242"/>
  <c r="O244"/>
  <c r="O245"/>
  <c r="O246"/>
  <c r="O248"/>
  <c r="O249"/>
  <c r="O250"/>
  <c r="O251"/>
  <c r="O252"/>
  <c r="O253"/>
  <c r="O254"/>
  <c r="O255"/>
  <c r="O256"/>
  <c r="O258"/>
  <c r="O2"/>
  <c r="K260"/>
  <c r="N257"/>
  <c r="O257" s="1"/>
  <c r="P257" s="1"/>
  <c r="N247"/>
  <c r="O247" s="1"/>
  <c r="P247" s="1"/>
  <c r="N243"/>
  <c r="O243" s="1"/>
  <c r="P243" s="1"/>
  <c r="N235"/>
  <c r="O235" s="1"/>
  <c r="P235" s="1"/>
  <c r="N233"/>
  <c r="O233" s="1"/>
  <c r="P233" s="1"/>
  <c r="N230"/>
  <c r="O230" s="1"/>
  <c r="P230" s="1"/>
  <c r="N229"/>
  <c r="O229" s="1"/>
  <c r="P229" s="1"/>
  <c r="L224"/>
  <c r="O224" s="1"/>
  <c r="P224" s="1"/>
  <c r="N222"/>
  <c r="O222" s="1"/>
  <c r="P222" s="1"/>
  <c r="N218"/>
  <c r="O218" s="1"/>
  <c r="P218" s="1"/>
  <c r="N216"/>
  <c r="O216" s="1"/>
  <c r="P216" s="1"/>
  <c r="N215"/>
  <c r="O215" s="1"/>
  <c r="P215" s="1"/>
  <c r="N203"/>
  <c r="O203" s="1"/>
  <c r="P203" s="1"/>
  <c r="M197"/>
  <c r="N197"/>
  <c r="L197"/>
  <c r="O197" s="1"/>
  <c r="N184"/>
  <c r="O184" s="1"/>
  <c r="P184" s="1"/>
  <c r="N182"/>
  <c r="O182" s="1"/>
  <c r="P182" s="1"/>
  <c r="N180"/>
  <c r="O180" s="1"/>
  <c r="P180" s="1"/>
  <c r="N179"/>
  <c r="O179" s="1"/>
  <c r="P179" s="1"/>
  <c r="N175"/>
  <c r="O175" s="1"/>
  <c r="P175" s="1"/>
  <c r="M174"/>
  <c r="O174" s="1"/>
  <c r="P174" s="1"/>
  <c r="N168"/>
  <c r="O168" s="1"/>
  <c r="P168" s="1"/>
  <c r="N167"/>
  <c r="O167" s="1"/>
  <c r="P167" s="1"/>
  <c r="N160"/>
  <c r="O160" s="1"/>
  <c r="P160" s="1"/>
  <c r="N159"/>
  <c r="O159" s="1"/>
  <c r="P159" s="1"/>
  <c r="N154"/>
  <c r="O154" s="1"/>
  <c r="P154" s="1"/>
  <c r="N153"/>
  <c r="O153" s="1"/>
  <c r="P153" s="1"/>
  <c r="M146"/>
  <c r="O146" s="1"/>
  <c r="P146" s="1"/>
  <c r="N141"/>
  <c r="O141" s="1"/>
  <c r="P141" s="1"/>
  <c r="N140"/>
  <c r="L140"/>
  <c r="O140" s="1"/>
  <c r="P140" s="1"/>
  <c r="M134"/>
  <c r="N134"/>
  <c r="N132"/>
  <c r="O132" s="1"/>
  <c r="P132" s="1"/>
  <c r="L128"/>
  <c r="O128" s="1"/>
  <c r="P128" s="1"/>
  <c r="N121"/>
  <c r="O121" s="1"/>
  <c r="P121" s="1"/>
  <c r="N119"/>
  <c r="O119" s="1"/>
  <c r="P119" s="1"/>
  <c r="N117"/>
  <c r="O117" s="1"/>
  <c r="P117" s="1"/>
  <c r="N114"/>
  <c r="O114" s="1"/>
  <c r="P114" s="1"/>
  <c r="N112"/>
  <c r="O112" s="1"/>
  <c r="P112" s="1"/>
  <c r="N105"/>
  <c r="O105" s="1"/>
  <c r="P105" s="1"/>
  <c r="N102"/>
  <c r="O102" s="1"/>
  <c r="P102" s="1"/>
  <c r="L96"/>
  <c r="O96" s="1"/>
  <c r="P96" s="1"/>
  <c r="N87"/>
  <c r="O87" s="1"/>
  <c r="P87" s="1"/>
  <c r="L85"/>
  <c r="O85" s="1"/>
  <c r="P85" s="1"/>
  <c r="N72"/>
  <c r="O72" s="1"/>
  <c r="P72" s="1"/>
  <c r="N71"/>
  <c r="O71" s="1"/>
  <c r="P71" s="1"/>
  <c r="N69"/>
  <c r="O69" s="1"/>
  <c r="P69" s="1"/>
  <c r="N68"/>
  <c r="O68" s="1"/>
  <c r="P68" s="1"/>
  <c r="N66"/>
  <c r="O66" s="1"/>
  <c r="P66" s="1"/>
  <c r="N64"/>
  <c r="O64" s="1"/>
  <c r="P64" s="1"/>
  <c r="N62"/>
  <c r="O62" s="1"/>
  <c r="P62" s="1"/>
  <c r="L60"/>
  <c r="O60" s="1"/>
  <c r="P60" s="1"/>
  <c r="N47"/>
  <c r="O47" s="1"/>
  <c r="P47" s="1"/>
  <c r="L45"/>
  <c r="O45" s="1"/>
  <c r="P45" s="1"/>
  <c r="L44"/>
  <c r="O44" s="1"/>
  <c r="P44" s="1"/>
  <c r="N40"/>
  <c r="O40" s="1"/>
  <c r="P40" s="1"/>
  <c r="N33"/>
  <c r="O33" s="1"/>
  <c r="P33" s="1"/>
  <c r="N30"/>
  <c r="O30" s="1"/>
  <c r="P30" s="1"/>
  <c r="N28"/>
  <c r="O28" s="1"/>
  <c r="P28" s="1"/>
  <c r="L27"/>
  <c r="O27" s="1"/>
  <c r="P27" s="1"/>
  <c r="N25"/>
  <c r="O25" s="1"/>
  <c r="P25" s="1"/>
  <c r="N14"/>
  <c r="O14" s="1"/>
  <c r="P14" s="1"/>
  <c r="N13"/>
  <c r="O13" s="1"/>
  <c r="P13" s="1"/>
  <c r="N12"/>
  <c r="O12" s="1"/>
  <c r="P12" s="1"/>
  <c r="G76"/>
  <c r="G77"/>
  <c r="G78"/>
  <c r="G79"/>
  <c r="G80"/>
  <c r="J80" s="1"/>
  <c r="G81"/>
  <c r="J81" s="1"/>
  <c r="G82"/>
  <c r="J82" s="1"/>
  <c r="G83"/>
  <c r="J83" s="1"/>
  <c r="G84"/>
  <c r="J84" s="1"/>
  <c r="G85"/>
  <c r="J85" s="1"/>
  <c r="G86"/>
  <c r="J86" s="1"/>
  <c r="G87"/>
  <c r="J87" s="1"/>
  <c r="G88"/>
  <c r="J88" s="1"/>
  <c r="G89"/>
  <c r="J89" s="1"/>
  <c r="G90"/>
  <c r="J90" s="1"/>
  <c r="G91"/>
  <c r="J91" s="1"/>
  <c r="G92"/>
  <c r="J92" s="1"/>
  <c r="G93"/>
  <c r="J93" s="1"/>
  <c r="G94"/>
  <c r="J94" s="1"/>
  <c r="G95"/>
  <c r="G96"/>
  <c r="J96" s="1"/>
  <c r="G97"/>
  <c r="J97" s="1"/>
  <c r="G98"/>
  <c r="J98" s="1"/>
  <c r="G99"/>
  <c r="J99" s="1"/>
  <c r="G100"/>
  <c r="J100" s="1"/>
  <c r="G101"/>
  <c r="J101" s="1"/>
  <c r="G102"/>
  <c r="J102" s="1"/>
  <c r="G103"/>
  <c r="J103" s="1"/>
  <c r="G104"/>
  <c r="J104" s="1"/>
  <c r="G105"/>
  <c r="J105" s="1"/>
  <c r="G106"/>
  <c r="J106" s="1"/>
  <c r="G107"/>
  <c r="J107" s="1"/>
  <c r="G108"/>
  <c r="J108" s="1"/>
  <c r="G109"/>
  <c r="J109" s="1"/>
  <c r="G110"/>
  <c r="J110" s="1"/>
  <c r="G111"/>
  <c r="J111" s="1"/>
  <c r="G112"/>
  <c r="G113"/>
  <c r="J113" s="1"/>
  <c r="G114"/>
  <c r="J114" s="1"/>
  <c r="G115"/>
  <c r="J115" s="1"/>
  <c r="G117"/>
  <c r="J117" s="1"/>
  <c r="G118"/>
  <c r="J118" s="1"/>
  <c r="G119"/>
  <c r="J119" s="1"/>
  <c r="G120"/>
  <c r="J120" s="1"/>
  <c r="G121"/>
  <c r="G122"/>
  <c r="J122" s="1"/>
  <c r="G124"/>
  <c r="J124" s="1"/>
  <c r="G125"/>
  <c r="J125" s="1"/>
  <c r="G126"/>
  <c r="J126" s="1"/>
  <c r="G127"/>
  <c r="J127" s="1"/>
  <c r="G128"/>
  <c r="J128" s="1"/>
  <c r="G129"/>
  <c r="J129" s="1"/>
  <c r="G130"/>
  <c r="J130" s="1"/>
  <c r="G131"/>
  <c r="J131" s="1"/>
  <c r="G132"/>
  <c r="J132" s="1"/>
  <c r="G133"/>
  <c r="J133" s="1"/>
  <c r="G135"/>
  <c r="J135" s="1"/>
  <c r="G134"/>
  <c r="J134" s="1"/>
  <c r="G136"/>
  <c r="J136" s="1"/>
  <c r="G137"/>
  <c r="J137" s="1"/>
  <c r="G138"/>
  <c r="J138" s="1"/>
  <c r="G139"/>
  <c r="J139" s="1"/>
  <c r="G140"/>
  <c r="J140" s="1"/>
  <c r="G141"/>
  <c r="J141" s="1"/>
  <c r="G142"/>
  <c r="J142" s="1"/>
  <c r="G143"/>
  <c r="J143" s="1"/>
  <c r="G144"/>
  <c r="J144" s="1"/>
  <c r="G145"/>
  <c r="J145" s="1"/>
  <c r="G146"/>
  <c r="J146" s="1"/>
  <c r="G147"/>
  <c r="J147" s="1"/>
  <c r="G148"/>
  <c r="J148" s="1"/>
  <c r="G149"/>
  <c r="G150"/>
  <c r="J150" s="1"/>
  <c r="G151"/>
  <c r="J151" s="1"/>
  <c r="G152"/>
  <c r="J152" s="1"/>
  <c r="G153"/>
  <c r="J153" s="1"/>
  <c r="G154"/>
  <c r="J154" s="1"/>
  <c r="G155"/>
  <c r="J155" s="1"/>
  <c r="G156"/>
  <c r="J156" s="1"/>
  <c r="G157"/>
  <c r="J157" s="1"/>
  <c r="G158"/>
  <c r="J158" s="1"/>
  <c r="G159"/>
  <c r="J159" s="1"/>
  <c r="G160"/>
  <c r="J160" s="1"/>
  <c r="G161"/>
  <c r="J161" s="1"/>
  <c r="G162"/>
  <c r="J162" s="1"/>
  <c r="G163"/>
  <c r="J163" s="1"/>
  <c r="G164"/>
  <c r="J164" s="1"/>
  <c r="G165"/>
  <c r="J165" s="1"/>
  <c r="G166"/>
  <c r="J166" s="1"/>
  <c r="G167"/>
  <c r="J167" s="1"/>
  <c r="G168"/>
  <c r="J168" s="1"/>
  <c r="G169"/>
  <c r="J169" s="1"/>
  <c r="G170"/>
  <c r="J170" s="1"/>
  <c r="G171"/>
  <c r="J171" s="1"/>
  <c r="G172"/>
  <c r="J172" s="1"/>
  <c r="G173"/>
  <c r="J173" s="1"/>
  <c r="G174"/>
  <c r="J174" s="1"/>
  <c r="G175"/>
  <c r="J175" s="1"/>
  <c r="G176"/>
  <c r="J176" s="1"/>
  <c r="G177"/>
  <c r="J177" s="1"/>
  <c r="G178"/>
  <c r="J178" s="1"/>
  <c r="G179"/>
  <c r="J179" s="1"/>
  <c r="G180"/>
  <c r="J180" s="1"/>
  <c r="G181"/>
  <c r="G182"/>
  <c r="J182" s="1"/>
  <c r="G183"/>
  <c r="G184"/>
  <c r="J184" s="1"/>
  <c r="G185"/>
  <c r="J185" s="1"/>
  <c r="G186"/>
  <c r="J186" s="1"/>
  <c r="G187"/>
  <c r="J187" s="1"/>
  <c r="G188"/>
  <c r="J188" s="1"/>
  <c r="G189"/>
  <c r="J189" s="1"/>
  <c r="G190"/>
  <c r="J190" s="1"/>
  <c r="G191"/>
  <c r="J191" s="1"/>
  <c r="G192"/>
  <c r="J192" s="1"/>
  <c r="G193"/>
  <c r="J193" s="1"/>
  <c r="G194"/>
  <c r="J194" s="1"/>
  <c r="G195"/>
  <c r="J195" s="1"/>
  <c r="G196"/>
  <c r="J196" s="1"/>
  <c r="G197"/>
  <c r="J197" s="1"/>
  <c r="G198"/>
  <c r="J198" s="1"/>
  <c r="G199"/>
  <c r="G200"/>
  <c r="J200" s="1"/>
  <c r="G201"/>
  <c r="J201" s="1"/>
  <c r="G202"/>
  <c r="J202" s="1"/>
  <c r="G203"/>
  <c r="J203" s="1"/>
  <c r="G204"/>
  <c r="J204" s="1"/>
  <c r="G205"/>
  <c r="J205" s="1"/>
  <c r="G206"/>
  <c r="J206" s="1"/>
  <c r="G207"/>
  <c r="J207" s="1"/>
  <c r="G208"/>
  <c r="J208" s="1"/>
  <c r="G209"/>
  <c r="J209" s="1"/>
  <c r="G210"/>
  <c r="J210" s="1"/>
  <c r="G211"/>
  <c r="J211" s="1"/>
  <c r="G212"/>
  <c r="J212" s="1"/>
  <c r="G213"/>
  <c r="J213" s="1"/>
  <c r="G214"/>
  <c r="J214" s="1"/>
  <c r="G215"/>
  <c r="J215" s="1"/>
  <c r="G216"/>
  <c r="J216" s="1"/>
  <c r="G217"/>
  <c r="J217" s="1"/>
  <c r="G218"/>
  <c r="J218" s="1"/>
  <c r="G219"/>
  <c r="G220"/>
  <c r="J220" s="1"/>
  <c r="G221"/>
  <c r="J221" s="1"/>
  <c r="G222"/>
  <c r="J222" s="1"/>
  <c r="G223"/>
  <c r="J223" s="1"/>
  <c r="G224"/>
  <c r="J224" s="1"/>
  <c r="G225"/>
  <c r="J225" s="1"/>
  <c r="G226"/>
  <c r="J226" s="1"/>
  <c r="G227"/>
  <c r="J227" s="1"/>
  <c r="G228"/>
  <c r="J228" s="1"/>
  <c r="G229"/>
  <c r="J229" s="1"/>
  <c r="G230"/>
  <c r="J230" s="1"/>
  <c r="G231"/>
  <c r="J231" s="1"/>
  <c r="G232"/>
  <c r="J232" s="1"/>
  <c r="G233"/>
  <c r="J233" s="1"/>
  <c r="G234"/>
  <c r="J234" s="1"/>
  <c r="G235"/>
  <c r="J235" s="1"/>
  <c r="G236"/>
  <c r="J236" s="1"/>
  <c r="G237"/>
  <c r="J237" s="1"/>
  <c r="G238"/>
  <c r="J238" s="1"/>
  <c r="G239"/>
  <c r="J239" s="1"/>
  <c r="G240"/>
  <c r="J240" s="1"/>
  <c r="G241"/>
  <c r="J241" s="1"/>
  <c r="G242"/>
  <c r="J242" s="1"/>
  <c r="G243"/>
  <c r="J243" s="1"/>
  <c r="G244"/>
  <c r="J244" s="1"/>
  <c r="G245"/>
  <c r="J245" s="1"/>
  <c r="G246"/>
  <c r="J246" s="1"/>
  <c r="G247"/>
  <c r="J247" s="1"/>
  <c r="G248"/>
  <c r="J248" s="1"/>
  <c r="G249"/>
  <c r="J249" s="1"/>
  <c r="G250"/>
  <c r="J250" s="1"/>
  <c r="G251"/>
  <c r="G252"/>
  <c r="J252" s="1"/>
  <c r="G253"/>
  <c r="J253" s="1"/>
  <c r="G254"/>
  <c r="J254" s="1"/>
  <c r="G255"/>
  <c r="J255" s="1"/>
  <c r="G256"/>
  <c r="J256" s="1"/>
  <c r="G257"/>
  <c r="J257" s="1"/>
  <c r="G258"/>
  <c r="J258" s="1"/>
  <c r="G66"/>
  <c r="J49"/>
  <c r="J66"/>
  <c r="J76"/>
  <c r="J77"/>
  <c r="J78"/>
  <c r="J116"/>
  <c r="J123"/>
  <c r="J183"/>
  <c r="I260"/>
  <c r="E260"/>
  <c r="G3"/>
  <c r="J3" s="1"/>
  <c r="G4"/>
  <c r="J4" s="1"/>
  <c r="G5"/>
  <c r="J5" s="1"/>
  <c r="G6"/>
  <c r="J6" s="1"/>
  <c r="G7"/>
  <c r="J7" s="1"/>
  <c r="G8"/>
  <c r="J8" s="1"/>
  <c r="G9"/>
  <c r="J9" s="1"/>
  <c r="G10"/>
  <c r="J10" s="1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G47"/>
  <c r="J47" s="1"/>
  <c r="G48"/>
  <c r="J48" s="1"/>
  <c r="G50"/>
  <c r="J50" s="1"/>
  <c r="G51"/>
  <c r="J51" s="1"/>
  <c r="G52"/>
  <c r="J52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67"/>
  <c r="J67" s="1"/>
  <c r="G68"/>
  <c r="J68" s="1"/>
  <c r="G69"/>
  <c r="J69" s="1"/>
  <c r="G70"/>
  <c r="J70" s="1"/>
  <c r="G71"/>
  <c r="J71" s="1"/>
  <c r="G72"/>
  <c r="J72" s="1"/>
  <c r="G73"/>
  <c r="J73" s="1"/>
  <c r="G74"/>
  <c r="J74" s="1"/>
  <c r="G75"/>
  <c r="J75" s="1"/>
  <c r="J79"/>
  <c r="J95"/>
  <c r="J112"/>
  <c r="J121"/>
  <c r="J149"/>
  <c r="J181"/>
  <c r="J199"/>
  <c r="J219"/>
  <c r="J251"/>
  <c r="G2"/>
  <c r="J2" s="1"/>
  <c r="H260"/>
  <c r="F260"/>
  <c r="P3"/>
  <c r="P4"/>
  <c r="P5"/>
  <c r="P6"/>
  <c r="P7"/>
  <c r="P8"/>
  <c r="P9"/>
  <c r="P10"/>
  <c r="P11"/>
  <c r="P15"/>
  <c r="P17"/>
  <c r="P18"/>
  <c r="P19"/>
  <c r="P20"/>
  <c r="P21"/>
  <c r="P22"/>
  <c r="P23"/>
  <c r="P24"/>
  <c r="P26"/>
  <c r="P29"/>
  <c r="P31"/>
  <c r="P32"/>
  <c r="P34"/>
  <c r="P35"/>
  <c r="P36"/>
  <c r="P37"/>
  <c r="P38"/>
  <c r="P39"/>
  <c r="P41"/>
  <c r="P42"/>
  <c r="P43"/>
  <c r="P46"/>
  <c r="P48"/>
  <c r="P49"/>
  <c r="P50"/>
  <c r="P51"/>
  <c r="P52"/>
  <c r="P53"/>
  <c r="P54"/>
  <c r="P55"/>
  <c r="P56"/>
  <c r="P57"/>
  <c r="P58"/>
  <c r="P59"/>
  <c r="P61"/>
  <c r="P63"/>
  <c r="P65"/>
  <c r="P67"/>
  <c r="P70"/>
  <c r="P73"/>
  <c r="P74"/>
  <c r="P75"/>
  <c r="P76"/>
  <c r="P77"/>
  <c r="P78"/>
  <c r="P79"/>
  <c r="P80"/>
  <c r="P81"/>
  <c r="P82"/>
  <c r="P83"/>
  <c r="P84"/>
  <c r="P86"/>
  <c r="P88"/>
  <c r="P89"/>
  <c r="P90"/>
  <c r="P91"/>
  <c r="P92"/>
  <c r="P93"/>
  <c r="P94"/>
  <c r="P95"/>
  <c r="P97"/>
  <c r="P98"/>
  <c r="P99"/>
  <c r="P100"/>
  <c r="P101"/>
  <c r="P103"/>
  <c r="P104"/>
  <c r="P106"/>
  <c r="P107"/>
  <c r="P108"/>
  <c r="P109"/>
  <c r="P110"/>
  <c r="P111"/>
  <c r="P115"/>
  <c r="P116"/>
  <c r="P118"/>
  <c r="P120"/>
  <c r="P122"/>
  <c r="P123"/>
  <c r="P124"/>
  <c r="P125"/>
  <c r="P126"/>
  <c r="P127"/>
  <c r="P129"/>
  <c r="P130"/>
  <c r="P131"/>
  <c r="P133"/>
  <c r="P135"/>
  <c r="P136"/>
  <c r="P137"/>
  <c r="P138"/>
  <c r="P139"/>
  <c r="P142"/>
  <c r="P143"/>
  <c r="P144"/>
  <c r="P145"/>
  <c r="P147"/>
  <c r="P148"/>
  <c r="P149"/>
  <c r="P150"/>
  <c r="P151"/>
  <c r="P16"/>
  <c r="P152"/>
  <c r="P155"/>
  <c r="P156"/>
  <c r="P157"/>
  <c r="P158"/>
  <c r="P161"/>
  <c r="P162"/>
  <c r="P163"/>
  <c r="P164"/>
  <c r="P165"/>
  <c r="P166"/>
  <c r="P169"/>
  <c r="P170"/>
  <c r="P171"/>
  <c r="P172"/>
  <c r="P173"/>
  <c r="P176"/>
  <c r="P177"/>
  <c r="P178"/>
  <c r="P181"/>
  <c r="P183"/>
  <c r="P185"/>
  <c r="P186"/>
  <c r="P187"/>
  <c r="P188"/>
  <c r="P189"/>
  <c r="P190"/>
  <c r="P191"/>
  <c r="P113"/>
  <c r="P193"/>
  <c r="P194"/>
  <c r="P195"/>
  <c r="P196"/>
  <c r="P198"/>
  <c r="P192"/>
  <c r="P199"/>
  <c r="P200"/>
  <c r="P201"/>
  <c r="P202"/>
  <c r="P204"/>
  <c r="P205"/>
  <c r="P206"/>
  <c r="P207"/>
  <c r="P208"/>
  <c r="P209"/>
  <c r="P210"/>
  <c r="P211"/>
  <c r="P212"/>
  <c r="P213"/>
  <c r="P214"/>
  <c r="P217"/>
  <c r="P219"/>
  <c r="P220"/>
  <c r="P221"/>
  <c r="P223"/>
  <c r="P225"/>
  <c r="P226"/>
  <c r="P227"/>
  <c r="P228"/>
  <c r="P231"/>
  <c r="P232"/>
  <c r="P234"/>
  <c r="P236"/>
  <c r="P237"/>
  <c r="P238"/>
  <c r="P239"/>
  <c r="P240"/>
  <c r="P241"/>
  <c r="P242"/>
  <c r="P244"/>
  <c r="P245"/>
  <c r="P246"/>
  <c r="P248"/>
  <c r="P249"/>
  <c r="P250"/>
  <c r="P251"/>
  <c r="P252"/>
  <c r="P253"/>
  <c r="P254"/>
  <c r="P255"/>
  <c r="P256"/>
  <c r="P258"/>
  <c r="P2"/>
  <c r="O134" l="1"/>
  <c r="P134" s="1"/>
  <c r="G260"/>
  <c r="N260"/>
  <c r="L260"/>
  <c r="M260"/>
  <c r="P197"/>
  <c r="J260"/>
  <c r="O260" l="1"/>
  <c r="P260" s="1"/>
</calcChain>
</file>

<file path=xl/sharedStrings.xml><?xml version="1.0" encoding="utf-8"?>
<sst xmlns="http://schemas.openxmlformats.org/spreadsheetml/2006/main" count="817" uniqueCount="547">
  <si>
    <t>Row #</t>
  </si>
  <si>
    <t>LEA</t>
  </si>
  <si>
    <t>District Name</t>
  </si>
  <si>
    <t>0101000</t>
  </si>
  <si>
    <t>DEWITT SCHOOL DISTRICT</t>
  </si>
  <si>
    <t>0104000</t>
  </si>
  <si>
    <t>STUTTGART SCHOOL DISTRICT</t>
  </si>
  <si>
    <t>0140700</t>
  </si>
  <si>
    <t>SCHOOL OF EXCELLENCE CHARTER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</si>
  <si>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</si>
  <si>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</si>
  <si>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</si>
  <si>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</si>
  <si>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</si>
  <si>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</si>
  <si>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</si>
  <si>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</si>
  <si>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</si>
  <si>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</si>
  <si>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</si>
  <si>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</si>
  <si>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</si>
  <si>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</si>
  <si>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</si>
  <si>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</si>
  <si>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</si>
  <si>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</si>
  <si>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</si>
  <si>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</si>
  <si>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</si>
  <si>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</si>
  <si>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</si>
  <si>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</si>
  <si>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</si>
  <si>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BENTON COUNTY SCHOOL OF ARTS</t>
  </si>
  <si>
    <t>0441700</t>
  </si>
  <si>
    <t>NWA ACADEMY OF FINE ARTS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</si>
  <si>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</si>
  <si>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</si>
  <si>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</si>
  <si>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</si>
  <si>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</si>
  <si>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</si>
  <si>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</si>
  <si>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</si>
  <si>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</si>
  <si>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</si>
  <si>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</si>
  <si>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</si>
  <si>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</si>
  <si>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</si>
  <si>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</si>
  <si>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</si>
  <si>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</si>
  <si>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</si>
  <si>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</si>
  <si>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</si>
  <si>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</si>
  <si>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</si>
  <si>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</si>
  <si>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</si>
  <si>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</si>
  <si>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</si>
  <si>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</si>
  <si>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</si>
  <si>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</si>
  <si>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</si>
  <si>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</si>
  <si>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</si>
  <si>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</si>
  <si>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</si>
  <si>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</si>
  <si>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</si>
  <si>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</si>
  <si>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</si>
  <si>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</si>
  <si>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</si>
  <si>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</si>
  <si>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</si>
  <si>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</si>
  <si>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</si>
  <si>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</si>
  <si>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</si>
  <si>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1304000</t>
  </si>
  <si>
    <t>WOODLAWN SCHOOL DISTRICT</t>
  </si>
  <si>
    <t>1305000</t>
  </si>
  <si>
    <t>CLEVELAND COUNTY SCHOOL DIST.</t>
  </si>
  <si>
    <t>1402000</t>
  </si>
  <si>
    <t>MAGNOLIA SCHOOL DISTRICT</t>
  </si>
  <si>
    <t>1408000</t>
  </si>
  <si>
    <t>EMERSON-TAYLOR SCHOOL DISTRICT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</si>
  <si>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</si>
  <si>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</si>
  <si>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</si>
  <si>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</si>
  <si>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</si>
  <si>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</si>
  <si>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</si>
  <si>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</si>
  <si>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</si>
  <si>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</si>
  <si>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</si>
  <si>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</si>
  <si>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</si>
  <si>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</si>
  <si>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</si>
  <si>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</si>
  <si>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</si>
  <si>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</si>
  <si>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</si>
  <si>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</si>
  <si>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</si>
  <si>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</si>
  <si>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</si>
  <si>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</si>
  <si>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</si>
  <si>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</si>
  <si>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</si>
  <si>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</si>
  <si>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</si>
  <si>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</si>
  <si>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</si>
  <si>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</si>
  <si>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</si>
  <si>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</si>
  <si>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</si>
  <si>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</si>
  <si>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</si>
  <si>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</si>
  <si>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</si>
  <si>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</si>
  <si>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</si>
  <si>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</si>
  <si>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</si>
  <si>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</si>
  <si>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</si>
  <si>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</si>
  <si>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</si>
  <si>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</si>
  <si>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</si>
  <si>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</si>
  <si>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</si>
  <si>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</si>
  <si>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</si>
  <si>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</si>
  <si>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</si>
  <si>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</si>
  <si>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</si>
  <si>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</si>
  <si>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</si>
  <si>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</si>
  <si>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</si>
  <si>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</si>
  <si>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</si>
  <si>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</si>
  <si>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</si>
  <si>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</si>
  <si>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</si>
  <si>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</si>
  <si>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</si>
  <si>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</si>
  <si>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</si>
  <si>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</si>
  <si>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</si>
  <si>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</si>
  <si>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</si>
  <si>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</si>
  <si>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</si>
  <si>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</si>
  <si>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</si>
  <si>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</si>
  <si>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</si>
  <si>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</si>
  <si>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</si>
  <si>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</si>
  <si>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</si>
  <si>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</si>
  <si>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</si>
  <si>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</si>
  <si>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</si>
  <si>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</si>
  <si>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</si>
  <si>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</si>
  <si>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</si>
  <si>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</si>
  <si>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</si>
  <si>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</si>
  <si>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</si>
  <si>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</si>
  <si>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</si>
  <si>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</si>
  <si>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</si>
  <si>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</si>
  <si>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</si>
  <si>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</si>
  <si>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</si>
  <si>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</si>
  <si>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</si>
  <si>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</si>
  <si>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</si>
  <si>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</si>
  <si>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</si>
  <si>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</si>
  <si>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</si>
  <si>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</si>
  <si>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</si>
  <si>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</si>
  <si>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</si>
  <si>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</si>
  <si>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</si>
  <si>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</si>
  <si>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</si>
  <si>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</si>
  <si>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</si>
  <si>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3201000</t>
  </si>
  <si>
    <t>BATESVILLE SCHOOL DISTRICT</t>
  </si>
  <si>
    <t>3203000</t>
  </si>
  <si>
    <t>CUSHMAN SCHOOL DISTRICT</t>
  </si>
  <si>
    <t>3209000</t>
  </si>
  <si>
    <t>SOUTHSIDE SCHOOL DISTRICT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</si>
  <si>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</si>
  <si>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</si>
  <si>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</si>
  <si>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</si>
  <si>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</si>
  <si>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</si>
  <si>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</si>
  <si>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</si>
  <si>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</si>
  <si>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CO. CONS. SCHOOL DIST.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</si>
  <si>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</si>
  <si>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</si>
  <si>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</si>
  <si>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</si>
  <si>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</si>
  <si>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</si>
  <si>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</si>
  <si>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</si>
  <si>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</si>
  <si>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</si>
  <si>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</si>
  <si>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</si>
  <si>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3540700</t>
  </si>
  <si>
    <t>HOPE ACADEMY</t>
  </si>
  <si>
    <t>3601000</t>
  </si>
  <si>
    <t>CLARKSVILLE SCHOOL DISTRICT</t>
  </si>
  <si>
    <t>3604000</t>
  </si>
  <si>
    <t>LAMAR SCHOOL DISTRICT</t>
  </si>
  <si>
    <t>3606000</t>
  </si>
  <si>
    <t>WESTSIDE SCHOOL DISTRICT</t>
  </si>
  <si>
    <t>3701000</t>
  </si>
  <si>
    <t>BRADLEY SCHOOL DISTRICT</t>
  </si>
  <si>
    <t>3704000</t>
  </si>
  <si>
    <t>LAFAYETTE COUNTY SCHOOL DISTRI</t>
  </si>
  <si>
    <t>3804000</t>
  </si>
  <si>
    <t>HOXIE SCHOOL DISTRICT</t>
  </si>
  <si>
    <t>3806000</t>
  </si>
  <si>
    <t>SLOAN-HENDRIX SCHOOL DIST.</t>
  </si>
  <si>
    <t>3809000</t>
  </si>
  <si>
    <t>HILLCREST SCHOOL DISTRICT</t>
  </si>
  <si>
    <t>3810000</t>
  </si>
  <si>
    <t>LAWRENCE COUNTY SCHOOL DISTRIC</t>
  </si>
  <si>
    <t>3840700</t>
  </si>
  <si>
    <t>IMBODEN CHARTER SCHOOL DIST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</si>
  <si>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</si>
  <si>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</si>
  <si>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</si>
  <si>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</si>
  <si>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</si>
  <si>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</si>
  <si>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</si>
  <si>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</si>
  <si>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</si>
  <si>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</si>
  <si>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</si>
  <si>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</si>
  <si>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</si>
  <si>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</si>
  <si>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</si>
  <si>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</si>
  <si>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</si>
  <si>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</si>
  <si>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</si>
  <si>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</si>
  <si>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</si>
  <si>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</si>
  <si>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</si>
  <si>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</si>
  <si>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</si>
  <si>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</si>
  <si>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</si>
  <si>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</si>
  <si>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</si>
  <si>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</si>
  <si>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</si>
  <si>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</si>
  <si>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</si>
  <si>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</si>
  <si>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</si>
  <si>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</si>
  <si>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</si>
  <si>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</si>
  <si>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</si>
  <si>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</si>
  <si>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</si>
  <si>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</si>
  <si>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</si>
  <si>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</si>
  <si>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</si>
  <si>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</si>
  <si>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</si>
  <si>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</si>
  <si>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4740700</t>
  </si>
  <si>
    <t>OSCEOLA COMM ART CHARTER BUS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</si>
  <si>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</si>
  <si>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</si>
  <si>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</si>
  <si>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</si>
  <si>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</si>
  <si>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</si>
  <si>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</si>
  <si>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</si>
  <si>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</si>
  <si>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</si>
  <si>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</si>
  <si>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</si>
  <si>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</si>
  <si>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</si>
  <si>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</si>
  <si>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</si>
  <si>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</si>
  <si>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</si>
  <si>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</si>
  <si>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</si>
  <si>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</si>
  <si>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</si>
  <si>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</si>
  <si>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</si>
  <si>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</si>
  <si>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</si>
  <si>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</si>
  <si>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</si>
  <si>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</si>
  <si>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</si>
  <si>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</si>
  <si>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W.HELENA SCHOOL DIST.</t>
  </si>
  <si>
    <t>5404000</t>
  </si>
  <si>
    <t>MARVELL SCHOOL DISTRICT</t>
  </si>
  <si>
    <t>5440700</t>
  </si>
  <si>
    <t>KIPP:DELTA COLLEGE PREP SCHOOL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</si>
  <si>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</si>
  <si>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</si>
  <si>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</si>
  <si>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</si>
  <si>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</si>
  <si>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</si>
  <si>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</si>
  <si>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</si>
  <si>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</si>
  <si>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</si>
  <si>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</si>
  <si>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</si>
  <si>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</si>
  <si>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</si>
  <si>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</si>
  <si>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</si>
  <si>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</si>
  <si>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</si>
  <si>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5703000</t>
  </si>
  <si>
    <t>MENA SCHOOL DISTRICT</t>
  </si>
  <si>
    <t>5704000</t>
  </si>
  <si>
    <t>VAN COVE SCHOOL DISTRICT</t>
  </si>
  <si>
    <t>5705000</t>
  </si>
  <si>
    <t>WICKES SCHOOL DISTRICT</t>
  </si>
  <si>
    <t>5706000</t>
  </si>
  <si>
    <t>OUACHITA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</si>
  <si>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</si>
  <si>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</si>
  <si>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</si>
  <si>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</si>
  <si>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</si>
  <si>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</si>
  <si>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</si>
  <si>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</si>
  <si>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</si>
  <si>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</si>
  <si>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</si>
  <si>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</si>
  <si>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</si>
  <si>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</si>
  <si>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</si>
  <si>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</si>
  <si>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</si>
  <si>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</si>
  <si>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</si>
  <si>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</si>
  <si>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6040700</t>
  </si>
  <si>
    <t>ACADEMICS PLUS SCHOOL DISTRICT</t>
  </si>
  <si>
    <t>6041700</t>
  </si>
  <si>
    <t>LISA ACADEMY</t>
  </si>
  <si>
    <t>6042700</t>
  </si>
  <si>
    <t>DREAMLAND ACADEMY</t>
  </si>
  <si>
    <t>6043700</t>
  </si>
  <si>
    <t>ARKANSAS VIRTUAL ACADEMY</t>
  </si>
  <si>
    <t>6044700</t>
  </si>
  <si>
    <t>COVENANT KEEPERS CHARTER SCH</t>
  </si>
  <si>
    <t>6045700</t>
  </si>
  <si>
    <t>ESTEM ELEMENTARY CHARTER SCH</t>
  </si>
  <si>
    <t>6046700</t>
  </si>
  <si>
    <t>ESTEM MIDDLE CHARTER SCH</t>
  </si>
  <si>
    <t>6047700</t>
  </si>
  <si>
    <t>ESTEM HIGH CHARTER SCH</t>
  </si>
  <si>
    <t>6048700</t>
  </si>
  <si>
    <t>LISA ACADEMY NORTH CHARTER SCH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</si>
  <si>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</si>
  <si>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</si>
  <si>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</si>
  <si>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</si>
  <si>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</si>
  <si>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</si>
  <si>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</si>
  <si>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</si>
  <si>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</si>
  <si>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</si>
  <si>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</si>
  <si>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</si>
  <si>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</si>
  <si>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</si>
  <si>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</si>
  <si>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</si>
  <si>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</si>
  <si>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</si>
  <si>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</si>
  <si>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</si>
  <si>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</si>
  <si>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</si>
  <si>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</si>
  <si>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</si>
  <si>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</si>
  <si>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</si>
  <si>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</si>
  <si>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</si>
  <si>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</si>
  <si>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</si>
  <si>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</si>
  <si>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</si>
  <si>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</si>
  <si>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</si>
  <si>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</si>
  <si>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</si>
  <si>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</si>
  <si>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</si>
  <si>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</si>
  <si>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6802000</t>
  </si>
  <si>
    <t>CAVE CITY SCHOOL DISTRICT</t>
  </si>
  <si>
    <t>6804000</t>
  </si>
  <si>
    <t>HIGHLAND SCHOOL DISTRICT</t>
  </si>
  <si>
    <t>6806000</t>
  </si>
  <si>
    <t>TWIN RIVERS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</si>
  <si>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</si>
  <si>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</si>
  <si>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</si>
  <si>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</si>
  <si>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</si>
  <si>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</si>
  <si>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</si>
  <si>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</si>
  <si>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</si>
  <si>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</si>
  <si>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</si>
  <si>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</si>
  <si>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</si>
  <si>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</si>
  <si>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</si>
  <si>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</si>
  <si>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</si>
  <si>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</si>
  <si>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</si>
  <si>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</si>
  <si>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</si>
  <si>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</si>
  <si>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</si>
  <si>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</si>
  <si>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</si>
  <si>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</si>
  <si>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</si>
  <si>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</si>
  <si>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</si>
  <si>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</si>
  <si>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</si>
  <si>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</si>
  <si>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</si>
  <si>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</si>
  <si>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</si>
  <si>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</si>
  <si>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7240700</t>
  </si>
  <si>
    <t>HAAS HALL ACADEMY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</si>
  <si>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</si>
  <si>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</si>
  <si>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</si>
  <si>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</si>
  <si>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</si>
  <si>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</si>
  <si>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</si>
  <si>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</si>
  <si>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</si>
  <si>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</si>
  <si>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</si>
  <si>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</si>
  <si>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</si>
  <si>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</si>
  <si>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</si>
  <si>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</si>
  <si>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</si>
  <si>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</si>
  <si>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</si>
  <si>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</si>
  <si>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</si>
  <si>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</si>
  <si>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</si>
  <si>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</si>
  <si>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</si>
  <si>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</si>
  <si>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</si>
  <si>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</si>
  <si>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All Districts Totals</t>
  </si>
  <si>
    <t>-  1  -</t>
  </si>
  <si>
    <t>Percentage of Students Receiving Free or Reduced Lunches</t>
  </si>
  <si>
    <t>NSLA Funding (Solely New funding for the year)</t>
  </si>
  <si>
    <t>Percent of Students Receiving Free or Reduced Lunches</t>
  </si>
  <si>
    <t>NA</t>
  </si>
  <si>
    <t>2008/2009 NSLA Funding   (only new money)</t>
  </si>
  <si>
    <t>Expenditures (2008/2009)</t>
  </si>
  <si>
    <t>Balance at the end of 2008/2009</t>
  </si>
  <si>
    <t>Percent of Non-White Students</t>
  </si>
  <si>
    <t>Percent of Students with Below Basic or Basic in Literacy for Grade 5</t>
  </si>
  <si>
    <t>No Data</t>
  </si>
  <si>
    <t xml:space="preserve">TOTAL STATEWIDE </t>
  </si>
  <si>
    <t>Total Spending on Proven Achievement Gap Programs</t>
  </si>
  <si>
    <t>Percent of NSLA Funding Spent on Proven Achievement Gap Programs</t>
  </si>
  <si>
    <t>Beginning Balance for 2008/2009 (Carry Forward from 2007/2008)</t>
  </si>
  <si>
    <t>Total Funding for 2008/2009</t>
  </si>
  <si>
    <t>Percent Carried Over</t>
  </si>
  <si>
    <t>Fund Transfers (2008/2009)</t>
  </si>
  <si>
    <t>Early Childhood Education Spending (2008/2009)</t>
  </si>
  <si>
    <t>School Health Spending (2008/2009)</t>
  </si>
  <si>
    <t>Before/After School and Summer Programs Spending (2008/2009)</t>
  </si>
</sst>
</file>

<file path=xl/styles.xml><?xml version="1.0" encoding="utf-8"?>
<styleSheet xmlns="http://schemas.openxmlformats.org/spreadsheetml/2006/main">
  <numFmts count="7">
    <numFmt numFmtId="7" formatCode="&quot;$&quot;#,##0.00_);\(&quot;$&quot;#,##0.00\)"/>
    <numFmt numFmtId="164" formatCode="[$$-409]#,##0.00;\([$$-409]#,##0.00\)"/>
    <numFmt numFmtId="165" formatCode="mmm\ d\,\ yyyy;@"/>
    <numFmt numFmtId="166" formatCode="h\:mm\:ss\ AM/PM;@"/>
    <numFmt numFmtId="167" formatCode="[$$-409]#,##0.00_);\([$$-409]#,##0.00\)"/>
    <numFmt numFmtId="168" formatCode="&quot;$&quot;#,##0"/>
    <numFmt numFmtId="169" formatCode="&quot;$&quot;#,##0.00"/>
  </numFmts>
  <fonts count="9">
    <font>
      <sz val="10"/>
      <name val="Arial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color indexed="8"/>
      <name val="Arial Unicode MS"/>
      <family val="2"/>
    </font>
    <font>
      <b/>
      <sz val="9"/>
      <name val="Arial Unicode MS"/>
      <family val="2"/>
    </font>
    <font>
      <sz val="9"/>
      <color indexed="8"/>
      <name val="Arial Unicode MS"/>
      <family val="2"/>
    </font>
    <font>
      <sz val="9"/>
      <name val="Arial Unicode MS"/>
      <family val="2"/>
    </font>
    <font>
      <b/>
      <sz val="9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55">
    <xf numFmtId="0" fontId="0" fillId="0" borderId="0" xfId="0">
      <alignment vertical="top"/>
    </xf>
    <xf numFmtId="49" fontId="2" fillId="2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166" fontId="1" fillId="0" borderId="0" xfId="0" applyNumberFormat="1" applyFont="1" applyAlignment="1">
      <alignment horizontal="right" vertical="top" wrapText="1"/>
    </xf>
    <xf numFmtId="10" fontId="0" fillId="0" borderId="0" xfId="0" applyNumberFormat="1">
      <alignment vertical="top"/>
    </xf>
    <xf numFmtId="10" fontId="2" fillId="2" borderId="1" xfId="0" applyNumberFormat="1" applyFont="1" applyFill="1" applyBorder="1" applyAlignment="1">
      <alignment horizontal="center" vertical="top" wrapText="1"/>
    </xf>
    <xf numFmtId="10" fontId="1" fillId="0" borderId="1" xfId="0" applyNumberFormat="1" applyFont="1" applyBorder="1" applyAlignment="1">
      <alignment vertical="top" wrapText="1"/>
    </xf>
    <xf numFmtId="10" fontId="2" fillId="0" borderId="2" xfId="0" applyNumberFormat="1" applyFont="1" applyBorder="1" applyAlignment="1">
      <alignment vertical="center" wrapText="1"/>
    </xf>
    <xf numFmtId="10" fontId="1" fillId="0" borderId="0" xfId="0" applyNumberFormat="1" applyFont="1" applyAlignment="1">
      <alignment horizontal="right" vertical="top" wrapText="1"/>
    </xf>
    <xf numFmtId="10" fontId="1" fillId="0" borderId="0" xfId="0" applyNumberFormat="1" applyFont="1" applyAlignment="1">
      <alignment horizontal="left" vertical="top" wrapText="1"/>
    </xf>
    <xf numFmtId="10" fontId="3" fillId="0" borderId="1" xfId="0" applyNumberFormat="1" applyFont="1" applyBorder="1" applyAlignment="1">
      <alignment vertical="top" wrapText="1"/>
    </xf>
    <xf numFmtId="167" fontId="0" fillId="0" borderId="0" xfId="0" applyNumberFormat="1">
      <alignment vertical="top"/>
    </xf>
    <xf numFmtId="49" fontId="4" fillId="0" borderId="3" xfId="0" applyNumberFormat="1" applyFont="1" applyFill="1" applyBorder="1" applyAlignment="1">
      <alignment horizontal="center" vertical="top" wrapText="1"/>
    </xf>
    <xf numFmtId="168" fontId="4" fillId="0" borderId="3" xfId="0" applyNumberFormat="1" applyFont="1" applyFill="1" applyBorder="1" applyAlignment="1">
      <alignment horizontal="center" vertical="top" wrapText="1"/>
    </xf>
    <xf numFmtId="168" fontId="5" fillId="0" borderId="3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vertical="top" wrapText="1"/>
    </xf>
    <xf numFmtId="168" fontId="6" fillId="0" borderId="3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168" fontId="6" fillId="0" borderId="0" xfId="0" applyNumberFormat="1" applyFont="1" applyBorder="1" applyAlignment="1">
      <alignment horizontal="right" vertical="top" wrapText="1"/>
    </xf>
    <xf numFmtId="168" fontId="6" fillId="0" borderId="0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9" fontId="5" fillId="0" borderId="3" xfId="0" applyNumberFormat="1" applyFont="1" applyBorder="1" applyAlignment="1">
      <alignment horizontal="center" vertical="top" wrapText="1"/>
    </xf>
    <xf numFmtId="9" fontId="6" fillId="0" borderId="3" xfId="0" applyNumberFormat="1" applyFont="1" applyBorder="1" applyAlignment="1">
      <alignment horizontal="right" vertical="top" wrapText="1"/>
    </xf>
    <xf numFmtId="9" fontId="4" fillId="0" borderId="3" xfId="0" applyNumberFormat="1" applyFont="1" applyFill="1" applyBorder="1" applyAlignment="1">
      <alignment horizontal="center" vertical="top" wrapText="1"/>
    </xf>
    <xf numFmtId="9" fontId="6" fillId="0" borderId="3" xfId="0" applyNumberFormat="1" applyFont="1" applyBorder="1" applyAlignment="1">
      <alignment vertical="top" wrapText="1"/>
    </xf>
    <xf numFmtId="9" fontId="6" fillId="0" borderId="0" xfId="0" applyNumberFormat="1" applyFont="1" applyBorder="1" applyAlignment="1">
      <alignment horizontal="right" vertical="top" wrapText="1"/>
    </xf>
    <xf numFmtId="9" fontId="6" fillId="0" borderId="7" xfId="0" applyNumberFormat="1" applyFont="1" applyBorder="1" applyAlignment="1">
      <alignment horizontal="right" vertical="top" wrapText="1"/>
    </xf>
    <xf numFmtId="168" fontId="7" fillId="0" borderId="3" xfId="0" applyNumberFormat="1" applyFont="1" applyBorder="1">
      <alignment vertical="top"/>
    </xf>
    <xf numFmtId="10" fontId="7" fillId="0" borderId="3" xfId="0" applyNumberFormat="1" applyFont="1" applyBorder="1">
      <alignment vertical="top"/>
    </xf>
    <xf numFmtId="0" fontId="7" fillId="0" borderId="0" xfId="0" applyFont="1">
      <alignment vertical="top"/>
    </xf>
    <xf numFmtId="9" fontId="7" fillId="0" borderId="3" xfId="0" applyNumberFormat="1" applyFont="1" applyBorder="1">
      <alignment vertical="top"/>
    </xf>
    <xf numFmtId="0" fontId="7" fillId="0" borderId="0" xfId="0" applyFont="1" applyFill="1">
      <alignment vertical="top"/>
    </xf>
    <xf numFmtId="0" fontId="5" fillId="0" borderId="3" xfId="0" applyFont="1" applyBorder="1">
      <alignment vertical="top"/>
    </xf>
    <xf numFmtId="9" fontId="5" fillId="0" borderId="3" xfId="0" applyNumberFormat="1" applyFont="1" applyBorder="1">
      <alignment vertical="top"/>
    </xf>
    <xf numFmtId="168" fontId="5" fillId="0" borderId="3" xfId="0" applyNumberFormat="1" applyFont="1" applyBorder="1">
      <alignment vertical="top"/>
    </xf>
    <xf numFmtId="168" fontId="4" fillId="0" borderId="3" xfId="0" applyNumberFormat="1" applyFont="1" applyBorder="1" applyAlignment="1">
      <alignment horizontal="right" vertical="top" wrapText="1"/>
    </xf>
    <xf numFmtId="9" fontId="7" fillId="0" borderId="0" xfId="0" applyNumberFormat="1" applyFont="1">
      <alignment vertical="top"/>
    </xf>
    <xf numFmtId="168" fontId="7" fillId="0" borderId="0" xfId="0" applyNumberFormat="1" applyFont="1">
      <alignment vertical="top"/>
    </xf>
    <xf numFmtId="168" fontId="7" fillId="0" borderId="0" xfId="0" applyNumberFormat="1" applyFont="1" applyBorder="1">
      <alignment vertical="top"/>
    </xf>
    <xf numFmtId="168" fontId="7" fillId="0" borderId="4" xfId="0" applyNumberFormat="1" applyFont="1" applyBorder="1">
      <alignment vertical="top"/>
    </xf>
    <xf numFmtId="168" fontId="7" fillId="0" borderId="1" xfId="0" applyNumberFormat="1" applyFont="1" applyBorder="1">
      <alignment vertical="top"/>
    </xf>
    <xf numFmtId="169" fontId="7" fillId="0" borderId="3" xfId="0" applyNumberFormat="1" applyFont="1" applyBorder="1" applyAlignment="1"/>
    <xf numFmtId="7" fontId="7" fillId="0" borderId="3" xfId="0" applyNumberFormat="1" applyFont="1" applyBorder="1" applyAlignment="1"/>
    <xf numFmtId="169" fontId="8" fillId="0" borderId="3" xfId="0" applyNumberFormat="1" applyFont="1" applyBorder="1" applyAlignment="1">
      <alignment horizontal="center" vertical="top" wrapText="1"/>
    </xf>
    <xf numFmtId="7" fontId="8" fillId="0" borderId="3" xfId="0" applyNumberFormat="1" applyFont="1" applyBorder="1" applyAlignment="1">
      <alignment horizontal="center" vertical="top" wrapText="1"/>
    </xf>
    <xf numFmtId="9" fontId="4" fillId="0" borderId="3" xfId="0" applyNumberFormat="1" applyFont="1" applyBorder="1" applyAlignment="1">
      <alignment horizontal="right" vertical="top" wrapText="1"/>
    </xf>
    <xf numFmtId="7" fontId="5" fillId="0" borderId="3" xfId="0" applyNumberFormat="1" applyFont="1" applyBorder="1" applyAlignment="1"/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1" sqref="C1:E263"/>
    </sheetView>
  </sheetViews>
  <sheetFormatPr defaultRowHeight="12.75"/>
  <cols>
    <col min="1" max="1" width="5.5703125" customWidth="1"/>
    <col min="2" max="2" width="8" customWidth="1"/>
    <col min="3" max="3" width="36.5703125" bestFit="1" customWidth="1"/>
    <col min="4" max="4" width="27.5703125" style="9" bestFit="1" customWidth="1"/>
    <col min="5" max="5" width="17" bestFit="1" customWidth="1"/>
  </cols>
  <sheetData>
    <row r="1" spans="1:5" ht="60">
      <c r="A1" s="1" t="s">
        <v>0</v>
      </c>
      <c r="B1" s="1" t="s">
        <v>1</v>
      </c>
      <c r="C1" s="1" t="s">
        <v>2</v>
      </c>
      <c r="D1" s="10" t="s">
        <v>527</v>
      </c>
      <c r="E1" s="1" t="s">
        <v>528</v>
      </c>
    </row>
    <row r="2" spans="1:5" ht="15">
      <c r="A2" s="2">
        <v>9</v>
      </c>
      <c r="B2" s="3" t="s">
        <v>513</v>
      </c>
      <c r="C2" s="3" t="s">
        <v>514</v>
      </c>
      <c r="D2" s="11">
        <v>1</v>
      </c>
      <c r="E2" s="4">
        <v>457312</v>
      </c>
    </row>
    <row r="3" spans="1:5" ht="15">
      <c r="A3" s="2">
        <v>24</v>
      </c>
      <c r="B3" s="3" t="s">
        <v>302</v>
      </c>
      <c r="C3" s="3" t="s">
        <v>303</v>
      </c>
      <c r="D3" s="11">
        <v>1</v>
      </c>
      <c r="E3" s="4">
        <v>2500832</v>
      </c>
    </row>
    <row r="4" spans="1:5" ht="15">
      <c r="A4" s="2">
        <v>28</v>
      </c>
      <c r="B4" s="3" t="s">
        <v>314</v>
      </c>
      <c r="C4" s="3" t="s">
        <v>315</v>
      </c>
      <c r="D4" s="11">
        <v>1</v>
      </c>
      <c r="E4" s="4">
        <v>614048</v>
      </c>
    </row>
    <row r="5" spans="1:5" ht="15">
      <c r="A5" s="2">
        <v>52</v>
      </c>
      <c r="B5" s="3" t="s">
        <v>131</v>
      </c>
      <c r="C5" s="3" t="s">
        <v>132</v>
      </c>
      <c r="D5" s="11">
        <v>1</v>
      </c>
      <c r="E5" s="4">
        <v>362077</v>
      </c>
    </row>
    <row r="6" spans="1:5" ht="15">
      <c r="A6" s="2">
        <v>62</v>
      </c>
      <c r="B6" s="3" t="s">
        <v>61</v>
      </c>
      <c r="C6" s="3" t="s">
        <v>62</v>
      </c>
      <c r="D6" s="11">
        <v>1</v>
      </c>
      <c r="E6" s="4">
        <v>717216</v>
      </c>
    </row>
    <row r="7" spans="1:5" ht="15">
      <c r="A7" s="2">
        <v>87</v>
      </c>
      <c r="B7" s="3" t="s">
        <v>418</v>
      </c>
      <c r="C7" s="3" t="s">
        <v>419</v>
      </c>
      <c r="D7" s="11">
        <v>1</v>
      </c>
      <c r="E7" s="4">
        <v>2912512</v>
      </c>
    </row>
    <row r="8" spans="1:5" ht="15">
      <c r="A8" s="2">
        <v>105</v>
      </c>
      <c r="B8" s="3" t="s">
        <v>11</v>
      </c>
      <c r="C8" s="3" t="s">
        <v>12</v>
      </c>
      <c r="D8" s="11">
        <v>1</v>
      </c>
      <c r="E8" s="4">
        <v>1504864</v>
      </c>
    </row>
    <row r="9" spans="1:5" ht="15">
      <c r="A9" s="2">
        <v>115</v>
      </c>
      <c r="B9" s="3" t="s">
        <v>344</v>
      </c>
      <c r="C9" s="3" t="s">
        <v>345</v>
      </c>
      <c r="D9" s="11">
        <v>1</v>
      </c>
      <c r="E9" s="4">
        <v>3688752</v>
      </c>
    </row>
    <row r="10" spans="1:5" ht="15">
      <c r="A10" s="2">
        <v>124</v>
      </c>
      <c r="B10" s="3" t="s">
        <v>420</v>
      </c>
      <c r="C10" s="3" t="s">
        <v>421</v>
      </c>
      <c r="D10" s="11">
        <v>1</v>
      </c>
      <c r="E10" s="4">
        <v>411680</v>
      </c>
    </row>
    <row r="11" spans="1:5" ht="15">
      <c r="A11" s="2">
        <v>188</v>
      </c>
      <c r="B11" s="3" t="s">
        <v>310</v>
      </c>
      <c r="C11" s="3" t="s">
        <v>311</v>
      </c>
      <c r="D11" s="11">
        <v>1</v>
      </c>
      <c r="E11" s="4">
        <v>1267776</v>
      </c>
    </row>
    <row r="12" spans="1:5" ht="15">
      <c r="A12" s="2">
        <v>237</v>
      </c>
      <c r="B12" s="3" t="s">
        <v>129</v>
      </c>
      <c r="C12" s="3" t="s">
        <v>130</v>
      </c>
      <c r="D12" s="11">
        <v>1</v>
      </c>
      <c r="E12" s="4">
        <v>260896</v>
      </c>
    </row>
    <row r="13" spans="1:5" ht="15">
      <c r="A13" s="2">
        <v>255</v>
      </c>
      <c r="B13" s="3" t="s">
        <v>248</v>
      </c>
      <c r="C13" s="3" t="s">
        <v>249</v>
      </c>
      <c r="D13" s="11">
        <v>1</v>
      </c>
      <c r="E13" s="4">
        <v>470208</v>
      </c>
    </row>
    <row r="14" spans="1:5" ht="15">
      <c r="A14" s="2">
        <v>258</v>
      </c>
      <c r="B14" s="3" t="s">
        <v>372</v>
      </c>
      <c r="C14" s="3" t="s">
        <v>373</v>
      </c>
      <c r="D14" s="11">
        <v>1</v>
      </c>
      <c r="E14" s="4">
        <v>514848</v>
      </c>
    </row>
    <row r="15" spans="1:5" ht="15">
      <c r="A15" s="2">
        <v>251</v>
      </c>
      <c r="B15" s="3" t="s">
        <v>125</v>
      </c>
      <c r="C15" s="3" t="s">
        <v>126</v>
      </c>
      <c r="D15" s="11">
        <v>0.99980000000000002</v>
      </c>
      <c r="E15" s="4">
        <v>4841952</v>
      </c>
    </row>
    <row r="16" spans="1:5" ht="15">
      <c r="A16" s="2">
        <v>143</v>
      </c>
      <c r="B16" s="3" t="s">
        <v>264</v>
      </c>
      <c r="C16" s="3" t="s">
        <v>265</v>
      </c>
      <c r="D16" s="11">
        <v>0.99839999999999995</v>
      </c>
      <c r="E16" s="4">
        <v>1784112</v>
      </c>
    </row>
    <row r="17" spans="1:5" ht="15">
      <c r="A17" s="2">
        <v>159</v>
      </c>
      <c r="B17" s="3" t="s">
        <v>346</v>
      </c>
      <c r="C17" s="3" t="s">
        <v>347</v>
      </c>
      <c r="D17" s="11">
        <v>0.96040000000000003</v>
      </c>
      <c r="E17" s="4">
        <v>1013328</v>
      </c>
    </row>
    <row r="18" spans="1:5" ht="15">
      <c r="A18" s="2">
        <v>119</v>
      </c>
      <c r="B18" s="3" t="s">
        <v>242</v>
      </c>
      <c r="C18" s="3" t="s">
        <v>243</v>
      </c>
      <c r="D18" s="11">
        <v>0.95499999999999996</v>
      </c>
      <c r="E18" s="4">
        <v>104160</v>
      </c>
    </row>
    <row r="19" spans="1:5" ht="15">
      <c r="A19" s="2">
        <v>71</v>
      </c>
      <c r="B19" s="3" t="s">
        <v>123</v>
      </c>
      <c r="C19" s="3" t="s">
        <v>124</v>
      </c>
      <c r="D19" s="11">
        <v>0.95430000000000004</v>
      </c>
      <c r="E19" s="4">
        <v>1191888</v>
      </c>
    </row>
    <row r="20" spans="1:5" ht="15">
      <c r="A20" s="2">
        <v>66</v>
      </c>
      <c r="B20" s="3" t="s">
        <v>234</v>
      </c>
      <c r="C20" s="3" t="s">
        <v>235</v>
      </c>
      <c r="D20" s="11">
        <v>0.9294</v>
      </c>
      <c r="E20" s="4">
        <v>1932758</v>
      </c>
    </row>
    <row r="21" spans="1:5" ht="15">
      <c r="A21" s="2">
        <v>137</v>
      </c>
      <c r="B21" s="3" t="s">
        <v>63</v>
      </c>
      <c r="C21" s="3" t="s">
        <v>64</v>
      </c>
      <c r="D21" s="11">
        <v>0.91879999999999995</v>
      </c>
      <c r="E21" s="4">
        <v>1012832</v>
      </c>
    </row>
    <row r="22" spans="1:5" ht="15">
      <c r="A22" s="2">
        <v>68</v>
      </c>
      <c r="B22" s="3" t="s">
        <v>400</v>
      </c>
      <c r="C22" s="3" t="s">
        <v>401</v>
      </c>
      <c r="D22" s="11">
        <v>0.90769999999999995</v>
      </c>
      <c r="E22" s="4">
        <v>207328</v>
      </c>
    </row>
    <row r="23" spans="1:5" ht="15">
      <c r="A23" s="2">
        <v>133</v>
      </c>
      <c r="B23" s="3" t="s">
        <v>348</v>
      </c>
      <c r="C23" s="3" t="s">
        <v>349</v>
      </c>
      <c r="D23" s="11">
        <v>0.88119999999999998</v>
      </c>
      <c r="E23" s="4">
        <v>310117</v>
      </c>
    </row>
    <row r="24" spans="1:5" ht="15">
      <c r="A24" s="2">
        <v>232</v>
      </c>
      <c r="B24" s="3" t="s">
        <v>336</v>
      </c>
      <c r="C24" s="3" t="s">
        <v>337</v>
      </c>
      <c r="D24" s="11">
        <v>0.8639</v>
      </c>
      <c r="E24" s="4">
        <v>350176</v>
      </c>
    </row>
    <row r="25" spans="1:5" ht="15">
      <c r="A25" s="2">
        <v>193</v>
      </c>
      <c r="B25" s="3" t="s">
        <v>422</v>
      </c>
      <c r="C25" s="3" t="s">
        <v>423</v>
      </c>
      <c r="D25" s="11">
        <v>0.82320000000000004</v>
      </c>
      <c r="E25" s="4">
        <v>486080</v>
      </c>
    </row>
    <row r="26" spans="1:5" ht="15">
      <c r="A26" s="2">
        <v>70</v>
      </c>
      <c r="B26" s="3" t="s">
        <v>137</v>
      </c>
      <c r="C26" s="3" t="s">
        <v>138</v>
      </c>
      <c r="D26" s="11">
        <v>0.79790000000000005</v>
      </c>
      <c r="E26" s="4">
        <v>1273728</v>
      </c>
    </row>
    <row r="27" spans="1:5" ht="15">
      <c r="A27" s="2">
        <v>135</v>
      </c>
      <c r="B27" s="3" t="s">
        <v>252</v>
      </c>
      <c r="C27" s="3" t="s">
        <v>253</v>
      </c>
      <c r="D27" s="11">
        <v>0.79510000000000003</v>
      </c>
      <c r="E27" s="4">
        <v>674560</v>
      </c>
    </row>
    <row r="28" spans="1:5" ht="15">
      <c r="A28" s="2">
        <v>216</v>
      </c>
      <c r="B28" s="3" t="s">
        <v>7</v>
      </c>
      <c r="C28" s="3" t="s">
        <v>8</v>
      </c>
      <c r="D28" s="11">
        <v>0.79410000000000003</v>
      </c>
      <c r="E28" s="4">
        <v>26784</v>
      </c>
    </row>
    <row r="29" spans="1:5" ht="15">
      <c r="A29" s="2">
        <v>51</v>
      </c>
      <c r="B29" s="3" t="s">
        <v>404</v>
      </c>
      <c r="C29" s="3" t="s">
        <v>405</v>
      </c>
      <c r="D29" s="11">
        <v>0.79339999999999999</v>
      </c>
      <c r="E29" s="4">
        <v>95232</v>
      </c>
    </row>
    <row r="30" spans="1:5" ht="15">
      <c r="A30" s="2">
        <v>126</v>
      </c>
      <c r="B30" s="3" t="s">
        <v>262</v>
      </c>
      <c r="C30" s="3" t="s">
        <v>263</v>
      </c>
      <c r="D30" s="11">
        <v>0.78720000000000001</v>
      </c>
      <c r="E30" s="4">
        <v>48039</v>
      </c>
    </row>
    <row r="31" spans="1:5" ht="15">
      <c r="A31" s="2">
        <v>238</v>
      </c>
      <c r="B31" s="3" t="s">
        <v>457</v>
      </c>
      <c r="C31" s="3" t="s">
        <v>458</v>
      </c>
      <c r="D31" s="11">
        <v>0.78129999999999999</v>
      </c>
      <c r="E31" s="4">
        <v>268832</v>
      </c>
    </row>
    <row r="32" spans="1:5" ht="15">
      <c r="A32" s="2">
        <v>181</v>
      </c>
      <c r="B32" s="3" t="s">
        <v>324</v>
      </c>
      <c r="C32" s="3" t="s">
        <v>325</v>
      </c>
      <c r="D32" s="11">
        <v>0.77490000000000003</v>
      </c>
      <c r="E32" s="4">
        <v>309504</v>
      </c>
    </row>
    <row r="33" spans="1:5" ht="15">
      <c r="A33" s="2">
        <v>120</v>
      </c>
      <c r="B33" s="3" t="s">
        <v>194</v>
      </c>
      <c r="C33" s="3" t="s">
        <v>195</v>
      </c>
      <c r="D33" s="11">
        <v>0.76580000000000004</v>
      </c>
      <c r="E33" s="4">
        <v>1920512</v>
      </c>
    </row>
    <row r="34" spans="1:5" ht="15">
      <c r="A34" s="2">
        <v>239</v>
      </c>
      <c r="B34" s="3" t="s">
        <v>523</v>
      </c>
      <c r="C34" s="3" t="s">
        <v>524</v>
      </c>
      <c r="D34" s="11">
        <v>0.76480000000000004</v>
      </c>
      <c r="E34" s="4">
        <v>730112</v>
      </c>
    </row>
    <row r="35" spans="1:5" ht="15">
      <c r="A35" s="2">
        <v>42</v>
      </c>
      <c r="B35" s="3" t="s">
        <v>316</v>
      </c>
      <c r="C35" s="3" t="s">
        <v>317</v>
      </c>
      <c r="D35" s="11">
        <v>0.76459999999999995</v>
      </c>
      <c r="E35" s="4">
        <v>468224</v>
      </c>
    </row>
    <row r="36" spans="1:5" ht="15">
      <c r="A36" s="2">
        <v>201</v>
      </c>
      <c r="B36" s="3" t="s">
        <v>236</v>
      </c>
      <c r="C36" s="3" t="s">
        <v>237</v>
      </c>
      <c r="D36" s="11">
        <v>0.76459999999999995</v>
      </c>
      <c r="E36" s="4">
        <v>3881696</v>
      </c>
    </row>
    <row r="37" spans="1:5" ht="15">
      <c r="A37" s="2">
        <v>171</v>
      </c>
      <c r="B37" s="3" t="s">
        <v>180</v>
      </c>
      <c r="C37" s="3" t="s">
        <v>181</v>
      </c>
      <c r="D37" s="11">
        <v>0.76049999999999995</v>
      </c>
      <c r="E37" s="4">
        <v>448384</v>
      </c>
    </row>
    <row r="38" spans="1:5" ht="15">
      <c r="A38" s="2">
        <v>122</v>
      </c>
      <c r="B38" s="3" t="s">
        <v>173</v>
      </c>
      <c r="C38" s="3" t="s">
        <v>174</v>
      </c>
      <c r="D38" s="11">
        <v>0.75839999999999996</v>
      </c>
      <c r="E38" s="4">
        <v>2751808</v>
      </c>
    </row>
    <row r="39" spans="1:5" ht="15">
      <c r="A39" s="2">
        <v>233</v>
      </c>
      <c r="B39" s="3" t="s">
        <v>471</v>
      </c>
      <c r="C39" s="3" t="s">
        <v>472</v>
      </c>
      <c r="D39" s="11">
        <v>0.75739999999999996</v>
      </c>
      <c r="E39" s="4">
        <v>382744</v>
      </c>
    </row>
    <row r="40" spans="1:5" ht="15">
      <c r="A40" s="2">
        <v>56</v>
      </c>
      <c r="B40" s="3" t="s">
        <v>517</v>
      </c>
      <c r="C40" s="3" t="s">
        <v>518</v>
      </c>
      <c r="D40" s="11">
        <v>0.75700000000000001</v>
      </c>
      <c r="E40" s="4">
        <v>668608</v>
      </c>
    </row>
    <row r="41" spans="1:5" ht="15">
      <c r="A41" s="2">
        <v>183</v>
      </c>
      <c r="B41" s="3" t="s">
        <v>17</v>
      </c>
      <c r="C41" s="3" t="s">
        <v>18</v>
      </c>
      <c r="D41" s="11">
        <v>0.75660000000000005</v>
      </c>
      <c r="E41" s="4">
        <v>322400</v>
      </c>
    </row>
    <row r="42" spans="1:5" ht="15">
      <c r="A42" s="2">
        <v>109</v>
      </c>
      <c r="B42" s="3" t="s">
        <v>358</v>
      </c>
      <c r="C42" s="3" t="s">
        <v>359</v>
      </c>
      <c r="D42" s="11">
        <v>0.752</v>
      </c>
      <c r="E42" s="4">
        <v>531048</v>
      </c>
    </row>
    <row r="43" spans="1:5" ht="15">
      <c r="A43" s="2">
        <v>163</v>
      </c>
      <c r="B43" s="3" t="s">
        <v>139</v>
      </c>
      <c r="C43" s="3" t="s">
        <v>140</v>
      </c>
      <c r="D43" s="11">
        <v>0.75</v>
      </c>
      <c r="E43" s="4">
        <v>889824</v>
      </c>
    </row>
    <row r="44" spans="1:5" ht="15">
      <c r="A44" s="2">
        <v>33</v>
      </c>
      <c r="B44" s="3" t="s">
        <v>318</v>
      </c>
      <c r="C44" s="3" t="s">
        <v>319</v>
      </c>
      <c r="D44" s="11">
        <v>0.74819999999999998</v>
      </c>
      <c r="E44" s="4">
        <v>382912</v>
      </c>
    </row>
    <row r="45" spans="1:5" ht="15">
      <c r="A45" s="2">
        <v>167</v>
      </c>
      <c r="B45" s="3" t="s">
        <v>210</v>
      </c>
      <c r="C45" s="3" t="s">
        <v>211</v>
      </c>
      <c r="D45" s="11">
        <v>0.74780000000000002</v>
      </c>
      <c r="E45" s="4">
        <v>418624</v>
      </c>
    </row>
    <row r="46" spans="1:5" ht="15">
      <c r="A46" s="2">
        <v>116</v>
      </c>
      <c r="B46" s="3" t="s">
        <v>49</v>
      </c>
      <c r="C46" s="3" t="s">
        <v>50</v>
      </c>
      <c r="D46" s="11">
        <v>0.745</v>
      </c>
      <c r="E46" s="4">
        <v>371008</v>
      </c>
    </row>
    <row r="47" spans="1:5" ht="15">
      <c r="A47" s="2">
        <v>253</v>
      </c>
      <c r="B47" s="3" t="s">
        <v>521</v>
      </c>
      <c r="C47" s="3" t="s">
        <v>522</v>
      </c>
      <c r="D47" s="11">
        <v>0.74170000000000003</v>
      </c>
      <c r="E47" s="4">
        <v>298196</v>
      </c>
    </row>
    <row r="48" spans="1:5" ht="15">
      <c r="A48" s="2">
        <v>191</v>
      </c>
      <c r="B48" s="3" t="s">
        <v>435</v>
      </c>
      <c r="C48" s="3" t="s">
        <v>436</v>
      </c>
      <c r="D48" s="11">
        <v>0.73980000000000001</v>
      </c>
      <c r="E48" s="4">
        <v>517824</v>
      </c>
    </row>
    <row r="49" spans="1:5" ht="15">
      <c r="A49" s="2">
        <v>189</v>
      </c>
      <c r="B49" s="3" t="s">
        <v>374</v>
      </c>
      <c r="C49" s="3" t="s">
        <v>375</v>
      </c>
      <c r="D49" s="11">
        <v>0.73939999999999995</v>
      </c>
      <c r="E49" s="4">
        <v>516832</v>
      </c>
    </row>
    <row r="50" spans="1:5" ht="15">
      <c r="A50" s="2">
        <v>35</v>
      </c>
      <c r="B50" s="3" t="s">
        <v>332</v>
      </c>
      <c r="C50" s="3" t="s">
        <v>333</v>
      </c>
      <c r="D50" s="11">
        <v>0.73870000000000002</v>
      </c>
      <c r="E50" s="4">
        <v>1854048</v>
      </c>
    </row>
    <row r="51" spans="1:5" ht="15">
      <c r="A51" s="2">
        <v>27</v>
      </c>
      <c r="B51" s="3" t="s">
        <v>250</v>
      </c>
      <c r="C51" s="3" t="s">
        <v>251</v>
      </c>
      <c r="D51" s="11">
        <v>0.73829999999999996</v>
      </c>
      <c r="E51" s="4">
        <v>274784</v>
      </c>
    </row>
    <row r="52" spans="1:5" ht="15">
      <c r="A52" s="2">
        <v>23</v>
      </c>
      <c r="B52" s="3" t="s">
        <v>192</v>
      </c>
      <c r="C52" s="3" t="s">
        <v>193</v>
      </c>
      <c r="D52" s="11">
        <v>0.73709999999999998</v>
      </c>
      <c r="E52" s="4">
        <v>410023</v>
      </c>
    </row>
    <row r="53" spans="1:5" ht="15">
      <c r="A53" s="2">
        <v>59</v>
      </c>
      <c r="B53" s="3" t="s">
        <v>328</v>
      </c>
      <c r="C53" s="3" t="s">
        <v>329</v>
      </c>
      <c r="D53" s="11">
        <v>0.73699999999999999</v>
      </c>
      <c r="E53" s="4">
        <v>275776</v>
      </c>
    </row>
    <row r="54" spans="1:5" ht="15">
      <c r="A54" s="2">
        <v>182</v>
      </c>
      <c r="B54" s="3" t="s">
        <v>230</v>
      </c>
      <c r="C54" s="3" t="s">
        <v>231</v>
      </c>
      <c r="D54" s="11">
        <v>0.73629999999999995</v>
      </c>
      <c r="E54" s="4">
        <v>901886</v>
      </c>
    </row>
    <row r="55" spans="1:5" ht="15">
      <c r="A55" s="2">
        <v>96</v>
      </c>
      <c r="B55" s="3" t="s">
        <v>59</v>
      </c>
      <c r="C55" s="3" t="s">
        <v>60</v>
      </c>
      <c r="D55" s="11">
        <v>0.73209999999999997</v>
      </c>
      <c r="E55" s="4">
        <v>585277</v>
      </c>
    </row>
    <row r="56" spans="1:5" ht="15">
      <c r="A56" s="2">
        <v>69</v>
      </c>
      <c r="B56" s="3" t="s">
        <v>141</v>
      </c>
      <c r="C56" s="3" t="s">
        <v>142</v>
      </c>
      <c r="D56" s="11">
        <v>0.73009999999999997</v>
      </c>
      <c r="E56" s="4">
        <v>600155</v>
      </c>
    </row>
    <row r="57" spans="1:5" ht="15">
      <c r="A57" s="2">
        <v>15</v>
      </c>
      <c r="B57" s="3" t="s">
        <v>330</v>
      </c>
      <c r="C57" s="3" t="s">
        <v>331</v>
      </c>
      <c r="D57" s="11">
        <v>0.72850000000000004</v>
      </c>
      <c r="E57" s="4">
        <v>289663</v>
      </c>
    </row>
    <row r="58" spans="1:5" ht="15">
      <c r="A58" s="2">
        <v>73</v>
      </c>
      <c r="B58" s="3" t="s">
        <v>366</v>
      </c>
      <c r="C58" s="3" t="s">
        <v>367</v>
      </c>
      <c r="D58" s="11">
        <v>0.72640000000000005</v>
      </c>
      <c r="E58" s="4">
        <v>367038</v>
      </c>
    </row>
    <row r="59" spans="1:5" ht="15">
      <c r="A59" s="2">
        <v>127</v>
      </c>
      <c r="B59" s="3" t="s">
        <v>228</v>
      </c>
      <c r="C59" s="3" t="s">
        <v>229</v>
      </c>
      <c r="D59" s="11">
        <v>0.72389999999999999</v>
      </c>
      <c r="E59" s="4">
        <v>378944</v>
      </c>
    </row>
    <row r="60" spans="1:5" ht="15">
      <c r="A60" s="2">
        <v>221</v>
      </c>
      <c r="B60" s="3" t="s">
        <v>475</v>
      </c>
      <c r="C60" s="3" t="s">
        <v>476</v>
      </c>
      <c r="D60" s="11">
        <v>0.72350000000000003</v>
      </c>
      <c r="E60" s="4">
        <v>347200</v>
      </c>
    </row>
    <row r="61" spans="1:5" ht="15">
      <c r="A61" s="2">
        <v>58</v>
      </c>
      <c r="B61" s="3" t="s">
        <v>21</v>
      </c>
      <c r="C61" s="3" t="s">
        <v>22</v>
      </c>
      <c r="D61" s="11">
        <v>0.72340000000000004</v>
      </c>
      <c r="E61" s="4">
        <v>408704</v>
      </c>
    </row>
    <row r="62" spans="1:5" ht="15">
      <c r="A62" s="2">
        <v>218</v>
      </c>
      <c r="B62" s="3" t="s">
        <v>433</v>
      </c>
      <c r="C62" s="3" t="s">
        <v>434</v>
      </c>
      <c r="D62" s="11">
        <v>0.7218</v>
      </c>
      <c r="E62" s="4">
        <v>711264</v>
      </c>
    </row>
    <row r="63" spans="1:5" ht="15">
      <c r="A63" s="2">
        <v>157</v>
      </c>
      <c r="B63" s="3" t="s">
        <v>360</v>
      </c>
      <c r="C63" s="3" t="s">
        <v>361</v>
      </c>
      <c r="D63" s="11">
        <v>0.72150000000000003</v>
      </c>
      <c r="E63" s="4">
        <v>459296</v>
      </c>
    </row>
    <row r="64" spans="1:5" ht="15">
      <c r="A64" s="2">
        <v>142</v>
      </c>
      <c r="B64" s="3" t="s">
        <v>47</v>
      </c>
      <c r="C64" s="3" t="s">
        <v>48</v>
      </c>
      <c r="D64" s="11">
        <v>0.72140000000000004</v>
      </c>
      <c r="E64" s="4">
        <v>267840</v>
      </c>
    </row>
    <row r="65" spans="1:5" ht="15">
      <c r="A65" s="2">
        <v>226</v>
      </c>
      <c r="B65" s="3" t="s">
        <v>304</v>
      </c>
      <c r="C65" s="3" t="s">
        <v>305</v>
      </c>
      <c r="D65" s="11">
        <v>0.72019999999999995</v>
      </c>
      <c r="E65" s="4">
        <v>887840</v>
      </c>
    </row>
    <row r="66" spans="1:5" ht="15">
      <c r="A66" s="2">
        <v>61</v>
      </c>
      <c r="B66" s="3" t="s">
        <v>449</v>
      </c>
      <c r="C66" s="3" t="s">
        <v>450</v>
      </c>
      <c r="D66" s="11">
        <v>0.71560000000000001</v>
      </c>
      <c r="E66" s="4">
        <v>1464015</v>
      </c>
    </row>
    <row r="67" spans="1:5" ht="15">
      <c r="A67" s="2">
        <v>186</v>
      </c>
      <c r="B67" s="3" t="s">
        <v>43</v>
      </c>
      <c r="C67" s="3" t="s">
        <v>44</v>
      </c>
      <c r="D67" s="11">
        <v>0.71309999999999996</v>
      </c>
      <c r="E67" s="4">
        <v>234774</v>
      </c>
    </row>
    <row r="68" spans="1:5" ht="15">
      <c r="A68" s="2">
        <v>206</v>
      </c>
      <c r="B68" s="3" t="s">
        <v>322</v>
      </c>
      <c r="C68" s="3" t="s">
        <v>323</v>
      </c>
      <c r="D68" s="11">
        <v>0.70930000000000004</v>
      </c>
      <c r="E68" s="4">
        <v>529895</v>
      </c>
    </row>
    <row r="69" spans="1:5" ht="15">
      <c r="A69" s="2">
        <v>101</v>
      </c>
      <c r="B69" s="3" t="s">
        <v>67</v>
      </c>
      <c r="C69" s="3" t="s">
        <v>68</v>
      </c>
      <c r="D69" s="11">
        <v>0.70879999999999999</v>
      </c>
      <c r="E69" s="4">
        <v>578336</v>
      </c>
    </row>
    <row r="70" spans="1:5" ht="15">
      <c r="A70" s="2">
        <v>39</v>
      </c>
      <c r="B70" s="3" t="s">
        <v>115</v>
      </c>
      <c r="C70" s="3" t="s">
        <v>116</v>
      </c>
      <c r="D70" s="11">
        <v>0.70789999999999997</v>
      </c>
      <c r="E70" s="4">
        <v>293632</v>
      </c>
    </row>
    <row r="71" spans="1:5" ht="15">
      <c r="A71" s="2">
        <v>243</v>
      </c>
      <c r="B71" s="3" t="s">
        <v>370</v>
      </c>
      <c r="C71" s="3" t="s">
        <v>371</v>
      </c>
      <c r="D71" s="11">
        <v>0.70499999999999996</v>
      </c>
      <c r="E71" s="4">
        <v>129456</v>
      </c>
    </row>
    <row r="72" spans="1:5" ht="15">
      <c r="A72" s="2">
        <v>161</v>
      </c>
      <c r="B72" s="3" t="s">
        <v>414</v>
      </c>
      <c r="C72" s="3" t="s">
        <v>415</v>
      </c>
      <c r="D72" s="11">
        <v>0.70220000000000005</v>
      </c>
      <c r="E72" s="4">
        <v>224191</v>
      </c>
    </row>
    <row r="73" spans="1:5" ht="15">
      <c r="A73" s="2">
        <v>211</v>
      </c>
      <c r="B73" s="3" t="s">
        <v>505</v>
      </c>
      <c r="C73" s="3" t="s">
        <v>506</v>
      </c>
      <c r="D73" s="11">
        <v>0.7</v>
      </c>
      <c r="E73" s="4">
        <v>591890</v>
      </c>
    </row>
    <row r="74" spans="1:5" ht="15">
      <c r="A74" s="2">
        <v>247</v>
      </c>
      <c r="B74" s="3" t="s">
        <v>51</v>
      </c>
      <c r="C74" s="3" t="s">
        <v>52</v>
      </c>
      <c r="D74" s="11">
        <v>0.69920000000000004</v>
      </c>
      <c r="E74" s="4">
        <v>524272</v>
      </c>
    </row>
    <row r="75" spans="1:5" ht="15">
      <c r="A75" s="2">
        <v>114</v>
      </c>
      <c r="B75" s="3" t="s">
        <v>380</v>
      </c>
      <c r="C75" s="3" t="s">
        <v>381</v>
      </c>
      <c r="D75" s="11">
        <v>0.69810000000000005</v>
      </c>
      <c r="E75" s="4">
        <v>215264</v>
      </c>
    </row>
    <row r="76" spans="1:5" ht="15">
      <c r="A76" s="2">
        <v>175</v>
      </c>
      <c r="B76" s="3" t="s">
        <v>119</v>
      </c>
      <c r="C76" s="3" t="s">
        <v>120</v>
      </c>
      <c r="D76" s="11">
        <v>0.6976</v>
      </c>
      <c r="E76" s="4">
        <v>139872</v>
      </c>
    </row>
    <row r="77" spans="1:5" ht="15">
      <c r="A77" s="2">
        <v>149</v>
      </c>
      <c r="B77" s="3" t="s">
        <v>274</v>
      </c>
      <c r="C77" s="3" t="s">
        <v>275</v>
      </c>
      <c r="D77" s="11">
        <v>0.69579999999999997</v>
      </c>
      <c r="E77" s="4">
        <v>376960</v>
      </c>
    </row>
    <row r="78" spans="1:5" ht="15">
      <c r="A78" s="2">
        <v>236</v>
      </c>
      <c r="B78" s="3" t="s">
        <v>362</v>
      </c>
      <c r="C78" s="3" t="s">
        <v>363</v>
      </c>
      <c r="D78" s="11">
        <v>0.6915</v>
      </c>
      <c r="E78" s="4">
        <v>543120</v>
      </c>
    </row>
    <row r="79" spans="1:5" ht="15">
      <c r="A79" s="2">
        <v>77</v>
      </c>
      <c r="B79" s="3" t="s">
        <v>282</v>
      </c>
      <c r="C79" s="3" t="s">
        <v>283</v>
      </c>
      <c r="D79" s="11">
        <v>0.69089999999999996</v>
      </c>
      <c r="E79" s="4">
        <v>390185</v>
      </c>
    </row>
    <row r="80" spans="1:5" ht="15">
      <c r="A80" s="2">
        <v>123</v>
      </c>
      <c r="B80" s="3" t="s">
        <v>254</v>
      </c>
      <c r="C80" s="3" t="s">
        <v>255</v>
      </c>
      <c r="D80" s="11">
        <v>0.68379999999999996</v>
      </c>
      <c r="E80" s="4">
        <v>724160</v>
      </c>
    </row>
    <row r="81" spans="1:5" ht="15">
      <c r="A81" s="2">
        <v>60</v>
      </c>
      <c r="B81" s="3" t="s">
        <v>350</v>
      </c>
      <c r="C81" s="3" t="s">
        <v>351</v>
      </c>
      <c r="D81" s="11">
        <v>0.67900000000000005</v>
      </c>
      <c r="E81" s="4">
        <v>110608</v>
      </c>
    </row>
    <row r="82" spans="1:5" ht="15">
      <c r="A82" s="2">
        <v>152</v>
      </c>
      <c r="B82" s="3" t="s">
        <v>204</v>
      </c>
      <c r="C82" s="3" t="s">
        <v>205</v>
      </c>
      <c r="D82" s="11">
        <v>0.67589999999999995</v>
      </c>
      <c r="E82" s="4">
        <v>655712</v>
      </c>
    </row>
    <row r="83" spans="1:5" ht="15">
      <c r="A83" s="2">
        <v>131</v>
      </c>
      <c r="B83" s="3" t="s">
        <v>105</v>
      </c>
      <c r="C83" s="3" t="s">
        <v>106</v>
      </c>
      <c r="D83" s="11">
        <v>0.67510000000000003</v>
      </c>
      <c r="E83" s="4">
        <v>1670898</v>
      </c>
    </row>
    <row r="84" spans="1:5" ht="15">
      <c r="A84" s="2">
        <v>144</v>
      </c>
      <c r="B84" s="3" t="s">
        <v>487</v>
      </c>
      <c r="C84" s="3" t="s">
        <v>488</v>
      </c>
      <c r="D84" s="11">
        <v>0.66930000000000001</v>
      </c>
      <c r="E84" s="4">
        <v>389360</v>
      </c>
    </row>
    <row r="85" spans="1:5" ht="15">
      <c r="A85" s="2">
        <v>235</v>
      </c>
      <c r="B85" s="3" t="s">
        <v>298</v>
      </c>
      <c r="C85" s="3" t="s">
        <v>299</v>
      </c>
      <c r="D85" s="11">
        <v>0.66869999999999996</v>
      </c>
      <c r="E85" s="4">
        <v>1467664</v>
      </c>
    </row>
    <row r="86" spans="1:5" ht="15">
      <c r="A86" s="2">
        <v>49</v>
      </c>
      <c r="B86" s="3" t="s">
        <v>13</v>
      </c>
      <c r="C86" s="3" t="s">
        <v>14</v>
      </c>
      <c r="D86" s="11">
        <v>0.66469999999999996</v>
      </c>
      <c r="E86" s="4">
        <v>189968</v>
      </c>
    </row>
    <row r="87" spans="1:5" ht="15">
      <c r="A87" s="2">
        <v>118</v>
      </c>
      <c r="B87" s="3" t="s">
        <v>258</v>
      </c>
      <c r="C87" s="3" t="s">
        <v>259</v>
      </c>
      <c r="D87" s="11">
        <v>0.66400000000000003</v>
      </c>
      <c r="E87" s="4">
        <v>135904</v>
      </c>
    </row>
    <row r="88" spans="1:5" ht="15">
      <c r="A88" s="2">
        <v>11</v>
      </c>
      <c r="B88" s="3" t="s">
        <v>342</v>
      </c>
      <c r="C88" s="3" t="s">
        <v>343</v>
      </c>
      <c r="D88" s="11">
        <v>0.66369999999999996</v>
      </c>
      <c r="E88" s="4">
        <v>249488</v>
      </c>
    </row>
    <row r="89" spans="1:5" ht="15">
      <c r="A89" s="2">
        <v>48</v>
      </c>
      <c r="B89" s="3" t="s">
        <v>69</v>
      </c>
      <c r="C89" s="3" t="s">
        <v>70</v>
      </c>
      <c r="D89" s="11">
        <v>0.66010000000000002</v>
      </c>
      <c r="E89" s="4">
        <v>347696</v>
      </c>
    </row>
    <row r="90" spans="1:5" ht="15">
      <c r="A90" s="2">
        <v>37</v>
      </c>
      <c r="B90" s="3" t="s">
        <v>453</v>
      </c>
      <c r="C90" s="3" t="s">
        <v>454</v>
      </c>
      <c r="D90" s="11">
        <v>0.65980000000000005</v>
      </c>
      <c r="E90" s="4">
        <v>383408</v>
      </c>
    </row>
    <row r="91" spans="1:5" ht="15">
      <c r="A91" s="2">
        <v>111</v>
      </c>
      <c r="B91" s="3" t="s">
        <v>443</v>
      </c>
      <c r="C91" s="3" t="s">
        <v>444</v>
      </c>
      <c r="D91" s="11">
        <v>0.6593</v>
      </c>
      <c r="E91" s="4">
        <v>118544</v>
      </c>
    </row>
    <row r="92" spans="1:5" ht="15">
      <c r="A92" s="2">
        <v>88</v>
      </c>
      <c r="B92" s="3" t="s">
        <v>437</v>
      </c>
      <c r="C92" s="3" t="s">
        <v>438</v>
      </c>
      <c r="D92" s="11">
        <v>0.65639999999999998</v>
      </c>
      <c r="E92" s="4">
        <v>4269568</v>
      </c>
    </row>
    <row r="93" spans="1:5" ht="15">
      <c r="A93" s="2">
        <v>223</v>
      </c>
      <c r="B93" s="3" t="s">
        <v>256</v>
      </c>
      <c r="C93" s="3" t="s">
        <v>257</v>
      </c>
      <c r="D93" s="11">
        <v>0.65490000000000004</v>
      </c>
      <c r="E93" s="4">
        <v>236098</v>
      </c>
    </row>
    <row r="94" spans="1:5" ht="15">
      <c r="A94" s="2">
        <v>112</v>
      </c>
      <c r="B94" s="3" t="s">
        <v>388</v>
      </c>
      <c r="C94" s="3" t="s">
        <v>389</v>
      </c>
      <c r="D94" s="11">
        <v>0.65380000000000005</v>
      </c>
      <c r="E94" s="4">
        <v>209312</v>
      </c>
    </row>
    <row r="95" spans="1:5" ht="15">
      <c r="A95" s="2">
        <v>147</v>
      </c>
      <c r="B95" s="3" t="s">
        <v>390</v>
      </c>
      <c r="C95" s="3" t="s">
        <v>391</v>
      </c>
      <c r="D95" s="11">
        <v>0.64990000000000003</v>
      </c>
      <c r="E95" s="4">
        <v>8139360</v>
      </c>
    </row>
    <row r="96" spans="1:5" ht="15">
      <c r="A96" s="2">
        <v>54</v>
      </c>
      <c r="B96" s="3" t="s">
        <v>216</v>
      </c>
      <c r="C96" s="3" t="s">
        <v>217</v>
      </c>
      <c r="D96" s="11">
        <v>0.64580000000000004</v>
      </c>
      <c r="E96" s="4">
        <v>105648</v>
      </c>
    </row>
    <row r="97" spans="1:5" ht="15">
      <c r="A97" s="2">
        <v>26</v>
      </c>
      <c r="B97" s="3" t="s">
        <v>501</v>
      </c>
      <c r="C97" s="3" t="s">
        <v>502</v>
      </c>
      <c r="D97" s="11">
        <v>0.64329999999999998</v>
      </c>
      <c r="E97" s="4">
        <v>166160</v>
      </c>
    </row>
    <row r="98" spans="1:5" ht="15">
      <c r="A98" s="2">
        <v>177</v>
      </c>
      <c r="B98" s="3" t="s">
        <v>392</v>
      </c>
      <c r="C98" s="3" t="s">
        <v>393</v>
      </c>
      <c r="D98" s="11">
        <v>0.64249999999999996</v>
      </c>
      <c r="E98" s="4">
        <v>2591600</v>
      </c>
    </row>
    <row r="99" spans="1:5" ht="15">
      <c r="A99" s="2">
        <v>128</v>
      </c>
      <c r="B99" s="3" t="s">
        <v>232</v>
      </c>
      <c r="C99" s="3" t="s">
        <v>233</v>
      </c>
      <c r="D99" s="11">
        <v>0.64239999999999997</v>
      </c>
      <c r="E99" s="4">
        <v>275776</v>
      </c>
    </row>
    <row r="100" spans="1:5" ht="15">
      <c r="A100" s="2">
        <v>151</v>
      </c>
      <c r="B100" s="3" t="s">
        <v>87</v>
      </c>
      <c r="C100" s="3" t="s">
        <v>88</v>
      </c>
      <c r="D100" s="11">
        <v>0.64090000000000003</v>
      </c>
      <c r="E100" s="4">
        <v>932480</v>
      </c>
    </row>
    <row r="101" spans="1:5" ht="15">
      <c r="A101" s="2">
        <v>178</v>
      </c>
      <c r="B101" s="3" t="s">
        <v>212</v>
      </c>
      <c r="C101" s="3" t="s">
        <v>213</v>
      </c>
      <c r="D101" s="11">
        <v>0.63670000000000004</v>
      </c>
      <c r="E101" s="4">
        <v>557008</v>
      </c>
    </row>
    <row r="102" spans="1:5" ht="15">
      <c r="A102" s="2">
        <v>129</v>
      </c>
      <c r="B102" s="3" t="s">
        <v>326</v>
      </c>
      <c r="C102" s="3" t="s">
        <v>327</v>
      </c>
      <c r="D102" s="11">
        <v>0.63539999999999996</v>
      </c>
      <c r="E102" s="4">
        <v>257920</v>
      </c>
    </row>
    <row r="103" spans="1:5" ht="15">
      <c r="A103" s="2">
        <v>154</v>
      </c>
      <c r="B103" s="3" t="s">
        <v>308</v>
      </c>
      <c r="C103" s="3" t="s">
        <v>309</v>
      </c>
      <c r="D103" s="11">
        <v>0.6331</v>
      </c>
      <c r="E103" s="4">
        <v>315952</v>
      </c>
    </row>
    <row r="104" spans="1:5" ht="15">
      <c r="A104" s="2">
        <v>166</v>
      </c>
      <c r="B104" s="3" t="s">
        <v>220</v>
      </c>
      <c r="C104" s="3" t="s">
        <v>221</v>
      </c>
      <c r="D104" s="11">
        <v>0.63100000000000001</v>
      </c>
      <c r="E104" s="4">
        <v>145824</v>
      </c>
    </row>
    <row r="105" spans="1:5" ht="15">
      <c r="A105" s="2">
        <v>179</v>
      </c>
      <c r="B105" s="3" t="s">
        <v>91</v>
      </c>
      <c r="C105" s="3" t="s">
        <v>92</v>
      </c>
      <c r="D105" s="11">
        <v>0.63090000000000002</v>
      </c>
      <c r="E105" s="4">
        <v>162688</v>
      </c>
    </row>
    <row r="106" spans="1:5" ht="15">
      <c r="A106" s="2">
        <v>169</v>
      </c>
      <c r="B106" s="3" t="s">
        <v>320</v>
      </c>
      <c r="C106" s="3" t="s">
        <v>321</v>
      </c>
      <c r="D106" s="11">
        <v>0.63</v>
      </c>
      <c r="E106" s="4">
        <v>178560</v>
      </c>
    </row>
    <row r="107" spans="1:5" ht="15">
      <c r="A107" s="2">
        <v>173</v>
      </c>
      <c r="B107" s="3" t="s">
        <v>117</v>
      </c>
      <c r="C107" s="3" t="s">
        <v>118</v>
      </c>
      <c r="D107" s="11">
        <v>0.62690000000000001</v>
      </c>
      <c r="E107" s="4">
        <v>217744</v>
      </c>
    </row>
    <row r="108" spans="1:5" ht="15">
      <c r="A108" s="2">
        <v>57</v>
      </c>
      <c r="B108" s="3" t="s">
        <v>519</v>
      </c>
      <c r="C108" s="3" t="s">
        <v>520</v>
      </c>
      <c r="D108" s="11">
        <v>0.626</v>
      </c>
      <c r="E108" s="4">
        <v>536672</v>
      </c>
    </row>
    <row r="109" spans="1:5" ht="15">
      <c r="A109" s="2">
        <v>248</v>
      </c>
      <c r="B109" s="3" t="s">
        <v>238</v>
      </c>
      <c r="C109" s="3" t="s">
        <v>239</v>
      </c>
      <c r="D109" s="11">
        <v>0.62380000000000002</v>
      </c>
      <c r="E109" s="4">
        <v>962736</v>
      </c>
    </row>
    <row r="110" spans="1:5" ht="15">
      <c r="A110" s="2">
        <v>45</v>
      </c>
      <c r="B110" s="3" t="s">
        <v>473</v>
      </c>
      <c r="C110" s="3" t="s">
        <v>474</v>
      </c>
      <c r="D110" s="11">
        <v>0.62319999999999998</v>
      </c>
      <c r="E110" s="4">
        <v>388864</v>
      </c>
    </row>
    <row r="111" spans="1:5" ht="15">
      <c r="A111" s="2">
        <v>153</v>
      </c>
      <c r="B111" s="3" t="s">
        <v>163</v>
      </c>
      <c r="C111" s="3" t="s">
        <v>164</v>
      </c>
      <c r="D111" s="11">
        <v>0.62250000000000005</v>
      </c>
      <c r="E111" s="4">
        <v>135904</v>
      </c>
    </row>
    <row r="112" spans="1:5" ht="15">
      <c r="A112" s="2">
        <v>246</v>
      </c>
      <c r="B112" s="3" t="s">
        <v>431</v>
      </c>
      <c r="C112" s="3" t="s">
        <v>432</v>
      </c>
      <c r="D112" s="11">
        <v>0.62239999999999995</v>
      </c>
      <c r="E112" s="4">
        <v>543616</v>
      </c>
    </row>
    <row r="113" spans="1:5" ht="15">
      <c r="A113" s="2">
        <v>10</v>
      </c>
      <c r="B113" s="3" t="s">
        <v>497</v>
      </c>
      <c r="C113" s="3" t="s">
        <v>498</v>
      </c>
      <c r="D113" s="11">
        <v>0.62060000000000004</v>
      </c>
      <c r="E113" s="4">
        <v>414656</v>
      </c>
    </row>
    <row r="114" spans="1:5" ht="15">
      <c r="A114" s="2">
        <v>134</v>
      </c>
      <c r="B114" s="3" t="s">
        <v>354</v>
      </c>
      <c r="C114" s="3" t="s">
        <v>355</v>
      </c>
      <c r="D114" s="11">
        <v>0.62060000000000004</v>
      </c>
      <c r="E114" s="4">
        <v>128960</v>
      </c>
    </row>
    <row r="115" spans="1:5" ht="15">
      <c r="A115" s="2">
        <v>94</v>
      </c>
      <c r="B115" s="3" t="s">
        <v>306</v>
      </c>
      <c r="C115" s="3" t="s">
        <v>307</v>
      </c>
      <c r="D115" s="11">
        <v>0.62039999999999995</v>
      </c>
      <c r="E115" s="4">
        <v>418128</v>
      </c>
    </row>
    <row r="116" spans="1:5" ht="15">
      <c r="A116" s="2">
        <v>31</v>
      </c>
      <c r="B116" s="3" t="s">
        <v>103</v>
      </c>
      <c r="C116" s="3" t="s">
        <v>104</v>
      </c>
      <c r="D116" s="11">
        <v>0.62</v>
      </c>
      <c r="E116" s="4">
        <v>237584</v>
      </c>
    </row>
    <row r="117" spans="1:5" ht="15">
      <c r="A117" s="2">
        <v>84</v>
      </c>
      <c r="B117" s="3" t="s">
        <v>290</v>
      </c>
      <c r="C117" s="3" t="s">
        <v>291</v>
      </c>
      <c r="D117" s="11">
        <v>0.61909999999999998</v>
      </c>
      <c r="E117" s="4">
        <v>261392</v>
      </c>
    </row>
    <row r="118" spans="1:5" ht="15">
      <c r="A118" s="2">
        <v>174</v>
      </c>
      <c r="B118" s="3" t="s">
        <v>153</v>
      </c>
      <c r="C118" s="3" t="s">
        <v>154</v>
      </c>
      <c r="D118" s="11">
        <v>0.6169</v>
      </c>
      <c r="E118" s="4">
        <v>151776</v>
      </c>
    </row>
    <row r="119" spans="1:5" ht="15">
      <c r="A119" s="2">
        <v>74</v>
      </c>
      <c r="B119" s="3" t="s">
        <v>461</v>
      </c>
      <c r="C119" s="3" t="s">
        <v>462</v>
      </c>
      <c r="D119" s="11">
        <v>0.61599999999999999</v>
      </c>
      <c r="E119" s="4">
        <v>1350112</v>
      </c>
    </row>
    <row r="120" spans="1:5" ht="15">
      <c r="A120" s="2">
        <v>234</v>
      </c>
      <c r="B120" s="3" t="s">
        <v>5</v>
      </c>
      <c r="C120" s="3" t="s">
        <v>6</v>
      </c>
      <c r="D120" s="11">
        <v>0.61560000000000004</v>
      </c>
      <c r="E120" s="4">
        <v>552544</v>
      </c>
    </row>
    <row r="121" spans="1:5" ht="15">
      <c r="A121" s="2">
        <v>40</v>
      </c>
      <c r="B121" s="3" t="s">
        <v>352</v>
      </c>
      <c r="C121" s="3" t="s">
        <v>353</v>
      </c>
      <c r="D121" s="11">
        <v>0.61319999999999997</v>
      </c>
      <c r="E121" s="4">
        <v>317440</v>
      </c>
    </row>
    <row r="122" spans="1:5" ht="15">
      <c r="A122" s="2">
        <v>262</v>
      </c>
      <c r="B122" s="3" t="s">
        <v>292</v>
      </c>
      <c r="C122" s="3" t="s">
        <v>293</v>
      </c>
      <c r="D122" s="11">
        <v>0.61140000000000005</v>
      </c>
      <c r="E122" s="4">
        <v>257424</v>
      </c>
    </row>
    <row r="123" spans="1:5" ht="15">
      <c r="A123" s="2">
        <v>225</v>
      </c>
      <c r="B123" s="3" t="s">
        <v>95</v>
      </c>
      <c r="C123" s="3" t="s">
        <v>96</v>
      </c>
      <c r="D123" s="11">
        <v>0.61129999999999995</v>
      </c>
      <c r="E123" s="4">
        <v>683488</v>
      </c>
    </row>
    <row r="124" spans="1:5" ht="15">
      <c r="A124" s="2">
        <v>63</v>
      </c>
      <c r="B124" s="3" t="s">
        <v>386</v>
      </c>
      <c r="C124" s="3" t="s">
        <v>387</v>
      </c>
      <c r="D124" s="11">
        <v>0.61099999999999999</v>
      </c>
      <c r="E124" s="4">
        <v>178560</v>
      </c>
    </row>
    <row r="125" spans="1:5" ht="15">
      <c r="A125" s="2">
        <v>121</v>
      </c>
      <c r="B125" s="3" t="s">
        <v>451</v>
      </c>
      <c r="C125" s="3" t="s">
        <v>452</v>
      </c>
      <c r="D125" s="11">
        <v>0.60760000000000003</v>
      </c>
      <c r="E125" s="4">
        <v>252464</v>
      </c>
    </row>
    <row r="126" spans="1:5" ht="15">
      <c r="A126" s="2">
        <v>195</v>
      </c>
      <c r="B126" s="3" t="s">
        <v>190</v>
      </c>
      <c r="C126" s="3" t="s">
        <v>191</v>
      </c>
      <c r="D126" s="11">
        <v>0.60540000000000005</v>
      </c>
      <c r="E126" s="4">
        <v>806000</v>
      </c>
    </row>
    <row r="127" spans="1:5" ht="15">
      <c r="A127" s="2">
        <v>43</v>
      </c>
      <c r="B127" s="3" t="s">
        <v>244</v>
      </c>
      <c r="C127" s="3" t="s">
        <v>245</v>
      </c>
      <c r="D127" s="11">
        <v>0.6048</v>
      </c>
      <c r="E127" s="4">
        <v>790822</v>
      </c>
    </row>
    <row r="128" spans="1:5" ht="15">
      <c r="A128" s="2">
        <v>162</v>
      </c>
      <c r="B128" s="3" t="s">
        <v>515</v>
      </c>
      <c r="C128" s="3" t="s">
        <v>516</v>
      </c>
      <c r="D128" s="11">
        <v>0.59970000000000001</v>
      </c>
      <c r="E128" s="4">
        <v>180544</v>
      </c>
    </row>
    <row r="129" spans="1:5" ht="15">
      <c r="A129" s="2">
        <v>172</v>
      </c>
      <c r="B129" s="3" t="s">
        <v>459</v>
      </c>
      <c r="C129" s="3" t="s">
        <v>460</v>
      </c>
      <c r="D129" s="11">
        <v>0.59840000000000004</v>
      </c>
      <c r="E129" s="4">
        <v>451360</v>
      </c>
    </row>
    <row r="130" spans="1:5" ht="15">
      <c r="A130" s="2">
        <v>215</v>
      </c>
      <c r="B130" s="3" t="s">
        <v>165</v>
      </c>
      <c r="C130" s="3" t="s">
        <v>166</v>
      </c>
      <c r="D130" s="11">
        <v>0.59809999999999997</v>
      </c>
      <c r="E130" s="4">
        <v>225571</v>
      </c>
    </row>
    <row r="131" spans="1:5" ht="15">
      <c r="A131" s="2">
        <v>117</v>
      </c>
      <c r="B131" s="3" t="s">
        <v>455</v>
      </c>
      <c r="C131" s="3" t="s">
        <v>456</v>
      </c>
      <c r="D131" s="11">
        <v>0.59719999999999995</v>
      </c>
      <c r="E131" s="4">
        <v>465248</v>
      </c>
    </row>
    <row r="132" spans="1:5" ht="15">
      <c r="A132" s="2">
        <v>202</v>
      </c>
      <c r="B132" s="3" t="s">
        <v>416</v>
      </c>
      <c r="C132" s="3" t="s">
        <v>417</v>
      </c>
      <c r="D132" s="11">
        <v>0.59499999999999997</v>
      </c>
      <c r="E132" s="4">
        <v>563952</v>
      </c>
    </row>
    <row r="133" spans="1:5" ht="15">
      <c r="A133" s="2">
        <v>86</v>
      </c>
      <c r="B133" s="3" t="s">
        <v>270</v>
      </c>
      <c r="C133" s="3" t="s">
        <v>271</v>
      </c>
      <c r="D133" s="11">
        <v>0.59409999999999996</v>
      </c>
      <c r="E133" s="4">
        <v>151280</v>
      </c>
    </row>
    <row r="134" spans="1:5" ht="15">
      <c r="A134" s="2">
        <v>231</v>
      </c>
      <c r="B134" s="3" t="s">
        <v>266</v>
      </c>
      <c r="C134" s="3" t="s">
        <v>267</v>
      </c>
      <c r="D134" s="11">
        <v>0.59340000000000004</v>
      </c>
      <c r="E134" s="4">
        <v>489056</v>
      </c>
    </row>
    <row r="135" spans="1:5" ht="15">
      <c r="A135" s="2">
        <v>210</v>
      </c>
      <c r="B135" s="3" t="s">
        <v>111</v>
      </c>
      <c r="C135" s="3" t="s">
        <v>112</v>
      </c>
      <c r="D135" s="11">
        <v>0.59199999999999997</v>
      </c>
      <c r="E135" s="4">
        <v>231136</v>
      </c>
    </row>
    <row r="136" spans="1:5" ht="15">
      <c r="A136" s="2">
        <v>141</v>
      </c>
      <c r="B136" s="3" t="s">
        <v>260</v>
      </c>
      <c r="C136" s="3" t="s">
        <v>261</v>
      </c>
      <c r="D136" s="11">
        <v>0.59</v>
      </c>
      <c r="E136" s="4">
        <v>309504</v>
      </c>
    </row>
    <row r="137" spans="1:5" ht="15">
      <c r="A137" s="2">
        <v>64</v>
      </c>
      <c r="B137" s="3" t="s">
        <v>3</v>
      </c>
      <c r="C137" s="3" t="s">
        <v>4</v>
      </c>
      <c r="D137" s="11">
        <v>0.58940000000000003</v>
      </c>
      <c r="E137" s="4">
        <v>412672</v>
      </c>
    </row>
    <row r="138" spans="1:5" ht="15">
      <c r="A138" s="2">
        <v>85</v>
      </c>
      <c r="B138" s="3" t="s">
        <v>135</v>
      </c>
      <c r="C138" s="3" t="s">
        <v>136</v>
      </c>
      <c r="D138" s="11">
        <v>0.58809999999999996</v>
      </c>
      <c r="E138" s="4">
        <v>260400</v>
      </c>
    </row>
    <row r="139" spans="1:5" ht="15">
      <c r="A139" s="2">
        <v>92</v>
      </c>
      <c r="B139" s="3" t="s">
        <v>23</v>
      </c>
      <c r="C139" s="3" t="s">
        <v>24</v>
      </c>
      <c r="D139" s="11">
        <v>0.58760000000000001</v>
      </c>
      <c r="E139" s="4">
        <v>406720</v>
      </c>
    </row>
    <row r="140" spans="1:5" ht="15">
      <c r="A140" s="2">
        <v>139</v>
      </c>
      <c r="B140" s="3" t="s">
        <v>246</v>
      </c>
      <c r="C140" s="3" t="s">
        <v>247</v>
      </c>
      <c r="D140" s="11">
        <v>0.58640000000000003</v>
      </c>
      <c r="E140" s="4">
        <v>316944</v>
      </c>
    </row>
    <row r="141" spans="1:5" ht="15">
      <c r="A141" s="2">
        <v>46</v>
      </c>
      <c r="B141" s="3" t="s">
        <v>75</v>
      </c>
      <c r="C141" s="3" t="s">
        <v>76</v>
      </c>
      <c r="D141" s="11">
        <v>0.58289999999999997</v>
      </c>
      <c r="E141" s="4">
        <v>153760</v>
      </c>
    </row>
    <row r="142" spans="1:5" ht="15">
      <c r="A142" s="2">
        <v>22</v>
      </c>
      <c r="B142" s="3" t="s">
        <v>198</v>
      </c>
      <c r="C142" s="3" t="s">
        <v>199</v>
      </c>
      <c r="D142" s="11">
        <v>0.57789999999999997</v>
      </c>
      <c r="E142" s="4">
        <v>284704</v>
      </c>
    </row>
    <row r="143" spans="1:5" ht="15">
      <c r="A143" s="2">
        <v>3</v>
      </c>
      <c r="B143" s="3" t="s">
        <v>37</v>
      </c>
      <c r="C143" s="3" t="s">
        <v>38</v>
      </c>
      <c r="D143" s="11">
        <v>0.57720000000000005</v>
      </c>
      <c r="E143" s="4">
        <v>129456</v>
      </c>
    </row>
    <row r="144" spans="1:5" ht="15">
      <c r="A144" s="2">
        <v>212</v>
      </c>
      <c r="B144" s="3" t="s">
        <v>27</v>
      </c>
      <c r="C144" s="3" t="s">
        <v>28</v>
      </c>
      <c r="D144" s="11">
        <v>0.57520000000000004</v>
      </c>
      <c r="E144" s="4">
        <v>3667831</v>
      </c>
    </row>
    <row r="145" spans="1:5" ht="15">
      <c r="A145" s="2">
        <v>230</v>
      </c>
      <c r="B145" s="3" t="s">
        <v>491</v>
      </c>
      <c r="C145" s="3" t="s">
        <v>492</v>
      </c>
      <c r="D145" s="11">
        <v>0.57420000000000004</v>
      </c>
      <c r="E145" s="4">
        <v>4656967</v>
      </c>
    </row>
    <row r="146" spans="1:5" ht="15">
      <c r="A146" s="2">
        <v>55</v>
      </c>
      <c r="B146" s="3" t="s">
        <v>169</v>
      </c>
      <c r="C146" s="3" t="s">
        <v>170</v>
      </c>
      <c r="D146" s="11">
        <v>0.57310000000000005</v>
      </c>
      <c r="E146" s="4">
        <v>197904</v>
      </c>
    </row>
    <row r="147" spans="1:5" ht="15">
      <c r="A147" s="2">
        <v>261</v>
      </c>
      <c r="B147" s="3" t="s">
        <v>133</v>
      </c>
      <c r="C147" s="3" t="s">
        <v>134</v>
      </c>
      <c r="D147" s="11">
        <v>0.56930000000000003</v>
      </c>
      <c r="E147" s="4">
        <v>806992</v>
      </c>
    </row>
    <row r="148" spans="1:5" ht="15">
      <c r="A148" s="2">
        <v>106</v>
      </c>
      <c r="B148" s="3" t="s">
        <v>53</v>
      </c>
      <c r="C148" s="3" t="s">
        <v>54</v>
      </c>
      <c r="D148" s="11">
        <v>0.56840000000000002</v>
      </c>
      <c r="E148" s="4">
        <v>184016</v>
      </c>
    </row>
    <row r="149" spans="1:5" ht="15">
      <c r="A149" s="2">
        <v>102</v>
      </c>
      <c r="B149" s="3" t="s">
        <v>149</v>
      </c>
      <c r="C149" s="3" t="s">
        <v>150</v>
      </c>
      <c r="D149" s="11">
        <v>0.56579999999999997</v>
      </c>
      <c r="E149" s="4">
        <v>123008</v>
      </c>
    </row>
    <row r="150" spans="1:5" ht="15">
      <c r="A150" s="2">
        <v>89</v>
      </c>
      <c r="B150" s="3" t="s">
        <v>296</v>
      </c>
      <c r="C150" s="3" t="s">
        <v>297</v>
      </c>
      <c r="D150" s="11">
        <v>0.5635</v>
      </c>
      <c r="E150" s="4">
        <v>279744</v>
      </c>
    </row>
    <row r="151" spans="1:5" ht="15">
      <c r="A151" s="2">
        <v>204</v>
      </c>
      <c r="B151" s="3" t="s">
        <v>182</v>
      </c>
      <c r="C151" s="3" t="s">
        <v>183</v>
      </c>
      <c r="D151" s="11">
        <v>0.5635</v>
      </c>
      <c r="E151" s="4">
        <v>151287</v>
      </c>
    </row>
    <row r="152" spans="1:5" ht="15">
      <c r="A152" s="2">
        <v>158</v>
      </c>
      <c r="B152" s="3" t="s">
        <v>186</v>
      </c>
      <c r="C152" s="3" t="s">
        <v>187</v>
      </c>
      <c r="D152" s="11">
        <v>0.56130000000000002</v>
      </c>
      <c r="E152" s="4">
        <v>196416</v>
      </c>
    </row>
    <row r="153" spans="1:5" ht="15">
      <c r="A153" s="2">
        <v>187</v>
      </c>
      <c r="B153" s="3" t="s">
        <v>312</v>
      </c>
      <c r="C153" s="3" t="s">
        <v>313</v>
      </c>
      <c r="D153" s="11">
        <v>0.56000000000000005</v>
      </c>
      <c r="E153" s="4">
        <v>6944</v>
      </c>
    </row>
    <row r="154" spans="1:5" ht="15">
      <c r="A154" s="2">
        <v>65</v>
      </c>
      <c r="B154" s="3" t="s">
        <v>208</v>
      </c>
      <c r="C154" s="3" t="s">
        <v>209</v>
      </c>
      <c r="D154" s="11">
        <v>0.55989999999999995</v>
      </c>
      <c r="E154" s="4">
        <v>136400</v>
      </c>
    </row>
    <row r="155" spans="1:5" ht="15">
      <c r="A155" s="2">
        <v>228</v>
      </c>
      <c r="B155" s="3" t="s">
        <v>218</v>
      </c>
      <c r="C155" s="3" t="s">
        <v>219</v>
      </c>
      <c r="D155" s="11">
        <v>0.55820000000000003</v>
      </c>
      <c r="E155" s="4">
        <v>423088</v>
      </c>
    </row>
    <row r="156" spans="1:5" ht="15">
      <c r="A156" s="2">
        <v>165</v>
      </c>
      <c r="B156" s="3" t="s">
        <v>368</v>
      </c>
      <c r="C156" s="3" t="s">
        <v>369</v>
      </c>
      <c r="D156" s="11">
        <v>0.55710000000000004</v>
      </c>
      <c r="E156" s="4">
        <v>540640</v>
      </c>
    </row>
    <row r="157" spans="1:5" ht="15">
      <c r="A157" s="2">
        <v>249</v>
      </c>
      <c r="B157" s="3" t="s">
        <v>364</v>
      </c>
      <c r="C157" s="3" t="s">
        <v>365</v>
      </c>
      <c r="D157" s="11">
        <v>0.55649999999999999</v>
      </c>
      <c r="E157" s="4">
        <v>87792</v>
      </c>
    </row>
    <row r="158" spans="1:5" ht="15">
      <c r="A158" s="2">
        <v>25</v>
      </c>
      <c r="B158" s="3" t="s">
        <v>272</v>
      </c>
      <c r="C158" s="3" t="s">
        <v>273</v>
      </c>
      <c r="D158" s="11">
        <v>0.55569999999999997</v>
      </c>
      <c r="E158" s="4">
        <v>420112</v>
      </c>
    </row>
    <row r="159" spans="1:5" ht="15">
      <c r="A159" s="2">
        <v>194</v>
      </c>
      <c r="B159" s="3" t="s">
        <v>507</v>
      </c>
      <c r="C159" s="3" t="s">
        <v>508</v>
      </c>
      <c r="D159" s="11">
        <v>0.5554</v>
      </c>
      <c r="E159" s="4">
        <v>184016</v>
      </c>
    </row>
    <row r="160" spans="1:5" ht="15">
      <c r="A160" s="2">
        <v>207</v>
      </c>
      <c r="B160" s="3" t="s">
        <v>394</v>
      </c>
      <c r="C160" s="3" t="s">
        <v>395</v>
      </c>
      <c r="D160" s="11">
        <v>0.55410000000000004</v>
      </c>
      <c r="E160" s="4">
        <v>4208560</v>
      </c>
    </row>
    <row r="161" spans="1:5" ht="15">
      <c r="A161" s="2">
        <v>34</v>
      </c>
      <c r="B161" s="3" t="s">
        <v>224</v>
      </c>
      <c r="C161" s="3" t="s">
        <v>225</v>
      </c>
      <c r="D161" s="11">
        <v>0.55349999999999999</v>
      </c>
      <c r="E161" s="4">
        <v>121024</v>
      </c>
    </row>
    <row r="162" spans="1:5" ht="15">
      <c r="A162" s="2">
        <v>8</v>
      </c>
      <c r="B162" s="3" t="s">
        <v>376</v>
      </c>
      <c r="C162" s="3" t="s">
        <v>377</v>
      </c>
      <c r="D162" s="11">
        <v>0.55059999999999998</v>
      </c>
      <c r="E162" s="4">
        <v>290160</v>
      </c>
    </row>
    <row r="163" spans="1:5" ht="15">
      <c r="A163" s="2">
        <v>180</v>
      </c>
      <c r="B163" s="3" t="s">
        <v>107</v>
      </c>
      <c r="C163" s="3" t="s">
        <v>108</v>
      </c>
      <c r="D163" s="11">
        <v>0.55059999999999998</v>
      </c>
      <c r="E163" s="4">
        <v>849471</v>
      </c>
    </row>
    <row r="164" spans="1:5" ht="15">
      <c r="A164" s="2">
        <v>81</v>
      </c>
      <c r="B164" s="3" t="s">
        <v>57</v>
      </c>
      <c r="C164" s="3" t="s">
        <v>58</v>
      </c>
      <c r="D164" s="11">
        <v>0.54920000000000002</v>
      </c>
      <c r="E164" s="4">
        <v>174096</v>
      </c>
    </row>
    <row r="165" spans="1:5" ht="15">
      <c r="A165" s="2">
        <v>125</v>
      </c>
      <c r="B165" s="3" t="s">
        <v>288</v>
      </c>
      <c r="C165" s="3" t="s">
        <v>289</v>
      </c>
      <c r="D165" s="11">
        <v>0.54620000000000002</v>
      </c>
      <c r="E165" s="4">
        <v>661664</v>
      </c>
    </row>
    <row r="166" spans="1:5" ht="15">
      <c r="A166" s="2">
        <v>200</v>
      </c>
      <c r="B166" s="3" t="s">
        <v>71</v>
      </c>
      <c r="C166" s="3" t="s">
        <v>72</v>
      </c>
      <c r="D166" s="11">
        <v>0.54339999999999999</v>
      </c>
      <c r="E166" s="4">
        <v>248496</v>
      </c>
    </row>
    <row r="167" spans="1:5" ht="15">
      <c r="A167" s="2">
        <v>21</v>
      </c>
      <c r="B167" s="3" t="s">
        <v>55</v>
      </c>
      <c r="C167" s="3" t="s">
        <v>56</v>
      </c>
      <c r="D167" s="11">
        <v>0.5423</v>
      </c>
      <c r="E167" s="4">
        <v>460784</v>
      </c>
    </row>
    <row r="168" spans="1:5" ht="15">
      <c r="A168" s="2">
        <v>130</v>
      </c>
      <c r="B168" s="3" t="s">
        <v>175</v>
      </c>
      <c r="C168" s="3" t="s">
        <v>176</v>
      </c>
      <c r="D168" s="11">
        <v>0.54220000000000002</v>
      </c>
      <c r="E168" s="4">
        <v>221216</v>
      </c>
    </row>
    <row r="169" spans="1:5" ht="15">
      <c r="A169" s="2">
        <v>72</v>
      </c>
      <c r="B169" s="3" t="s">
        <v>338</v>
      </c>
      <c r="C169" s="3" t="s">
        <v>339</v>
      </c>
      <c r="D169" s="11">
        <v>0.54200000000000004</v>
      </c>
      <c r="E169" s="4">
        <v>166656</v>
      </c>
    </row>
    <row r="170" spans="1:5" ht="15">
      <c r="A170" s="2">
        <v>214</v>
      </c>
      <c r="B170" s="3" t="s">
        <v>384</v>
      </c>
      <c r="C170" s="3" t="s">
        <v>385</v>
      </c>
      <c r="D170" s="11">
        <v>0.54049999999999998</v>
      </c>
      <c r="E170" s="4">
        <v>1223136</v>
      </c>
    </row>
    <row r="171" spans="1:5" ht="15">
      <c r="A171" s="2">
        <v>196</v>
      </c>
      <c r="B171" s="3" t="s">
        <v>276</v>
      </c>
      <c r="C171" s="3" t="s">
        <v>277</v>
      </c>
      <c r="D171" s="11">
        <v>0.53810000000000002</v>
      </c>
      <c r="E171" s="4">
        <v>338675</v>
      </c>
    </row>
    <row r="172" spans="1:5" ht="15">
      <c r="A172" s="2">
        <v>44</v>
      </c>
      <c r="B172" s="3" t="s">
        <v>85</v>
      </c>
      <c r="C172" s="3" t="s">
        <v>86</v>
      </c>
      <c r="D172" s="11">
        <v>0.53749999999999998</v>
      </c>
      <c r="E172" s="4">
        <v>249488</v>
      </c>
    </row>
    <row r="173" spans="1:5" ht="15">
      <c r="A173" s="2">
        <v>38</v>
      </c>
      <c r="B173" s="3" t="s">
        <v>222</v>
      </c>
      <c r="C173" s="3" t="s">
        <v>223</v>
      </c>
      <c r="D173" s="11">
        <v>0.53500000000000003</v>
      </c>
      <c r="E173" s="4">
        <v>235289</v>
      </c>
    </row>
    <row r="174" spans="1:5" ht="15">
      <c r="A174" s="2">
        <v>252</v>
      </c>
      <c r="B174" s="3" t="s">
        <v>81</v>
      </c>
      <c r="C174" s="3" t="s">
        <v>82</v>
      </c>
      <c r="D174" s="11">
        <v>0.53500000000000003</v>
      </c>
      <c r="E174" s="4">
        <v>135904</v>
      </c>
    </row>
    <row r="175" spans="1:5" ht="15">
      <c r="A175" s="2">
        <v>168</v>
      </c>
      <c r="B175" s="3" t="s">
        <v>143</v>
      </c>
      <c r="C175" s="3" t="s">
        <v>144</v>
      </c>
      <c r="D175" s="11">
        <v>0.53459999999999996</v>
      </c>
      <c r="E175" s="4">
        <v>549568</v>
      </c>
    </row>
    <row r="176" spans="1:5" ht="15">
      <c r="A176" s="2">
        <v>227</v>
      </c>
      <c r="B176" s="3" t="s">
        <v>477</v>
      </c>
      <c r="C176" s="3" t="s">
        <v>478</v>
      </c>
      <c r="D176" s="11">
        <v>0.53320000000000001</v>
      </c>
      <c r="E176" s="4">
        <v>144892</v>
      </c>
    </row>
    <row r="177" spans="1:5" ht="15">
      <c r="A177" s="2">
        <v>213</v>
      </c>
      <c r="B177" s="3" t="s">
        <v>509</v>
      </c>
      <c r="C177" s="3" t="s">
        <v>510</v>
      </c>
      <c r="D177" s="11">
        <v>0.53210000000000002</v>
      </c>
      <c r="E177" s="4">
        <v>207824</v>
      </c>
    </row>
    <row r="178" spans="1:5" ht="15">
      <c r="A178" s="2">
        <v>245</v>
      </c>
      <c r="B178" s="3" t="s">
        <v>167</v>
      </c>
      <c r="C178" s="3" t="s">
        <v>168</v>
      </c>
      <c r="D178" s="11">
        <v>0.53159999999999996</v>
      </c>
      <c r="E178" s="4">
        <v>96720</v>
      </c>
    </row>
    <row r="179" spans="1:5" ht="15">
      <c r="A179" s="2">
        <v>53</v>
      </c>
      <c r="B179" s="3" t="s">
        <v>9</v>
      </c>
      <c r="C179" s="3" t="s">
        <v>10</v>
      </c>
      <c r="D179" s="11">
        <v>0.52759999999999996</v>
      </c>
      <c r="E179" s="4">
        <v>556512</v>
      </c>
    </row>
    <row r="180" spans="1:5" ht="15">
      <c r="A180" s="2">
        <v>148</v>
      </c>
      <c r="B180" s="3" t="s">
        <v>280</v>
      </c>
      <c r="C180" s="3" t="s">
        <v>281</v>
      </c>
      <c r="D180" s="11">
        <v>0.52759999999999996</v>
      </c>
      <c r="E180" s="4">
        <v>450864</v>
      </c>
    </row>
    <row r="181" spans="1:5" ht="15">
      <c r="A181" s="2">
        <v>209</v>
      </c>
      <c r="B181" s="3" t="s">
        <v>73</v>
      </c>
      <c r="C181" s="3" t="s">
        <v>74</v>
      </c>
      <c r="D181" s="11">
        <v>0.52129999999999999</v>
      </c>
      <c r="E181" s="4">
        <v>163184</v>
      </c>
    </row>
    <row r="182" spans="1:5" ht="15">
      <c r="A182" s="2">
        <v>12</v>
      </c>
      <c r="B182" s="3" t="s">
        <v>214</v>
      </c>
      <c r="C182" s="3" t="s">
        <v>215</v>
      </c>
      <c r="D182" s="11">
        <v>0.52049999999999996</v>
      </c>
      <c r="E182" s="4">
        <v>663152</v>
      </c>
    </row>
    <row r="183" spans="1:5" ht="15">
      <c r="A183" s="2">
        <v>254</v>
      </c>
      <c r="B183" s="3" t="s">
        <v>99</v>
      </c>
      <c r="C183" s="3" t="s">
        <v>100</v>
      </c>
      <c r="D183" s="11">
        <v>0.51939999999999997</v>
      </c>
      <c r="E183" s="4">
        <v>398288</v>
      </c>
    </row>
    <row r="184" spans="1:5" ht="15">
      <c r="A184" s="2">
        <v>256</v>
      </c>
      <c r="B184" s="3" t="s">
        <v>503</v>
      </c>
      <c r="C184" s="3" t="s">
        <v>504</v>
      </c>
      <c r="D184" s="11">
        <v>0.51790000000000003</v>
      </c>
      <c r="E184" s="4">
        <v>171616</v>
      </c>
    </row>
    <row r="185" spans="1:5" ht="15">
      <c r="A185" s="2">
        <v>107</v>
      </c>
      <c r="B185" s="3" t="s">
        <v>334</v>
      </c>
      <c r="C185" s="3" t="s">
        <v>335</v>
      </c>
      <c r="D185" s="11">
        <v>0.51529999999999998</v>
      </c>
      <c r="E185" s="4">
        <v>249984</v>
      </c>
    </row>
    <row r="186" spans="1:5" ht="15">
      <c r="A186" s="2">
        <v>67</v>
      </c>
      <c r="B186" s="3" t="s">
        <v>378</v>
      </c>
      <c r="C186" s="3" t="s">
        <v>379</v>
      </c>
      <c r="D186" s="11">
        <v>0.5141</v>
      </c>
      <c r="E186" s="4">
        <v>341744</v>
      </c>
    </row>
    <row r="187" spans="1:5" ht="15">
      <c r="A187" s="2">
        <v>208</v>
      </c>
      <c r="B187" s="3" t="s">
        <v>79</v>
      </c>
      <c r="C187" s="3" t="s">
        <v>80</v>
      </c>
      <c r="D187" s="11">
        <v>0.5131</v>
      </c>
      <c r="E187" s="4">
        <v>131936</v>
      </c>
    </row>
    <row r="188" spans="1:5" ht="15">
      <c r="A188" s="2">
        <v>242</v>
      </c>
      <c r="B188" s="3" t="s">
        <v>121</v>
      </c>
      <c r="C188" s="3" t="s">
        <v>122</v>
      </c>
      <c r="D188" s="11">
        <v>0.51270000000000004</v>
      </c>
      <c r="E188" s="4">
        <v>1439789</v>
      </c>
    </row>
    <row r="189" spans="1:5" ht="15">
      <c r="A189" s="2">
        <v>50</v>
      </c>
      <c r="B189" s="3" t="s">
        <v>159</v>
      </c>
      <c r="C189" s="3" t="s">
        <v>160</v>
      </c>
      <c r="D189" s="11">
        <v>0.51249999999999996</v>
      </c>
      <c r="E189" s="4">
        <v>105152</v>
      </c>
    </row>
    <row r="190" spans="1:5" ht="15">
      <c r="A190" s="2">
        <v>99</v>
      </c>
      <c r="B190" s="3" t="s">
        <v>485</v>
      </c>
      <c r="C190" s="3" t="s">
        <v>486</v>
      </c>
      <c r="D190" s="11">
        <v>0.50980000000000003</v>
      </c>
      <c r="E190" s="4">
        <v>225184</v>
      </c>
    </row>
    <row r="191" spans="1:5" ht="15">
      <c r="A191" s="2">
        <v>7</v>
      </c>
      <c r="B191" s="3" t="s">
        <v>268</v>
      </c>
      <c r="C191" s="3" t="s">
        <v>269</v>
      </c>
      <c r="D191" s="11">
        <v>0.50960000000000005</v>
      </c>
      <c r="E191" s="4">
        <v>399776</v>
      </c>
    </row>
    <row r="192" spans="1:5" ht="15">
      <c r="A192" s="2">
        <v>4</v>
      </c>
      <c r="B192" s="3" t="s">
        <v>65</v>
      </c>
      <c r="C192" s="3" t="s">
        <v>66</v>
      </c>
      <c r="D192" s="11">
        <v>0.50880000000000003</v>
      </c>
      <c r="E192" s="4">
        <v>503440</v>
      </c>
    </row>
    <row r="193" spans="1:5" ht="15">
      <c r="A193" s="2">
        <v>36</v>
      </c>
      <c r="B193" s="3" t="s">
        <v>284</v>
      </c>
      <c r="C193" s="3" t="s">
        <v>285</v>
      </c>
      <c r="D193" s="11">
        <v>0.50670000000000004</v>
      </c>
      <c r="E193" s="4">
        <v>185504</v>
      </c>
    </row>
    <row r="194" spans="1:5" ht="15">
      <c r="A194" s="2">
        <v>156</v>
      </c>
      <c r="B194" s="3" t="s">
        <v>127</v>
      </c>
      <c r="C194" s="3" t="s">
        <v>128</v>
      </c>
      <c r="D194" s="11">
        <v>0.50649999999999995</v>
      </c>
      <c r="E194" s="4">
        <v>976128</v>
      </c>
    </row>
    <row r="195" spans="1:5" ht="15">
      <c r="A195" s="2">
        <v>229</v>
      </c>
      <c r="B195" s="3" t="s">
        <v>196</v>
      </c>
      <c r="C195" s="3" t="s">
        <v>197</v>
      </c>
      <c r="D195" s="11">
        <v>0.50309999999999999</v>
      </c>
      <c r="E195" s="4">
        <v>107136</v>
      </c>
    </row>
    <row r="196" spans="1:5" ht="15">
      <c r="A196" s="2">
        <v>132</v>
      </c>
      <c r="B196" s="3" t="s">
        <v>463</v>
      </c>
      <c r="C196" s="3" t="s">
        <v>464</v>
      </c>
      <c r="D196" s="11">
        <v>0.50260000000000005</v>
      </c>
      <c r="E196" s="4">
        <v>140864</v>
      </c>
    </row>
    <row r="197" spans="1:5" ht="15">
      <c r="A197" s="2">
        <v>170</v>
      </c>
      <c r="B197" s="3" t="s">
        <v>15</v>
      </c>
      <c r="C197" s="3" t="s">
        <v>16</v>
      </c>
      <c r="D197" s="11">
        <v>0.50139999999999996</v>
      </c>
      <c r="E197" s="4">
        <v>924048</v>
      </c>
    </row>
    <row r="198" spans="1:5" ht="15">
      <c r="A198" s="2">
        <v>222</v>
      </c>
      <c r="B198" s="3" t="s">
        <v>29</v>
      </c>
      <c r="C198" s="3" t="s">
        <v>30</v>
      </c>
      <c r="D198" s="11">
        <v>0.49859999999999999</v>
      </c>
      <c r="E198" s="4">
        <v>924346</v>
      </c>
    </row>
    <row r="199" spans="1:5" ht="15">
      <c r="A199" s="2">
        <v>93</v>
      </c>
      <c r="B199" s="3" t="s">
        <v>200</v>
      </c>
      <c r="C199" s="3" t="s">
        <v>201</v>
      </c>
      <c r="D199" s="11">
        <v>0.49809999999999999</v>
      </c>
      <c r="E199" s="4">
        <v>233616</v>
      </c>
    </row>
    <row r="200" spans="1:5" ht="15">
      <c r="A200" s="2">
        <v>136</v>
      </c>
      <c r="B200" s="3" t="s">
        <v>177</v>
      </c>
      <c r="C200" s="3" t="s">
        <v>178</v>
      </c>
      <c r="D200" s="11">
        <v>0.49270000000000003</v>
      </c>
      <c r="E200" s="4">
        <v>913632</v>
      </c>
    </row>
    <row r="201" spans="1:5" ht="15">
      <c r="A201" s="2">
        <v>184</v>
      </c>
      <c r="B201" s="3" t="s">
        <v>465</v>
      </c>
      <c r="C201" s="3" t="s">
        <v>466</v>
      </c>
      <c r="D201" s="11">
        <v>0.49259999999999998</v>
      </c>
      <c r="E201" s="4">
        <v>112592</v>
      </c>
    </row>
    <row r="202" spans="1:5" ht="15">
      <c r="A202" s="2">
        <v>164</v>
      </c>
      <c r="B202" s="3" t="s">
        <v>226</v>
      </c>
      <c r="C202" s="3" t="s">
        <v>227</v>
      </c>
      <c r="D202" s="11">
        <v>0.49149999999999999</v>
      </c>
      <c r="E202" s="4">
        <v>205344</v>
      </c>
    </row>
    <row r="203" spans="1:5" ht="15">
      <c r="A203" s="2">
        <v>113</v>
      </c>
      <c r="B203" s="3" t="s">
        <v>77</v>
      </c>
      <c r="C203" s="3" t="s">
        <v>78</v>
      </c>
      <c r="D203" s="11">
        <v>0.48820000000000002</v>
      </c>
      <c r="E203" s="4">
        <v>430032</v>
      </c>
    </row>
    <row r="204" spans="1:5" ht="15">
      <c r="A204" s="2">
        <v>14</v>
      </c>
      <c r="B204" s="3" t="s">
        <v>97</v>
      </c>
      <c r="C204" s="3" t="s">
        <v>98</v>
      </c>
      <c r="D204" s="11">
        <v>0.48809999999999998</v>
      </c>
      <c r="E204" s="4">
        <v>122016</v>
      </c>
    </row>
    <row r="205" spans="1:5" ht="15">
      <c r="A205" s="2">
        <v>176</v>
      </c>
      <c r="B205" s="3" t="s">
        <v>356</v>
      </c>
      <c r="C205" s="3" t="s">
        <v>357</v>
      </c>
      <c r="D205" s="11">
        <v>0.48759999999999998</v>
      </c>
      <c r="E205" s="4">
        <v>127968</v>
      </c>
    </row>
    <row r="206" spans="1:5" ht="15">
      <c r="A206" s="2">
        <v>259</v>
      </c>
      <c r="B206" s="3" t="s">
        <v>93</v>
      </c>
      <c r="C206" s="3" t="s">
        <v>94</v>
      </c>
      <c r="D206" s="11">
        <v>0.48520000000000002</v>
      </c>
      <c r="E206" s="4">
        <v>99696</v>
      </c>
    </row>
    <row r="207" spans="1:5" ht="15">
      <c r="A207" s="2">
        <v>110</v>
      </c>
      <c r="B207" s="3" t="s">
        <v>41</v>
      </c>
      <c r="C207" s="3" t="s">
        <v>42</v>
      </c>
      <c r="D207" s="11">
        <v>0.4819</v>
      </c>
      <c r="E207" s="4">
        <v>634880</v>
      </c>
    </row>
    <row r="208" spans="1:5" ht="15">
      <c r="A208" s="2">
        <v>217</v>
      </c>
      <c r="B208" s="3" t="s">
        <v>278</v>
      </c>
      <c r="C208" s="3" t="s">
        <v>279</v>
      </c>
      <c r="D208" s="11">
        <v>0.47749999999999998</v>
      </c>
      <c r="E208" s="4">
        <v>99696</v>
      </c>
    </row>
    <row r="209" spans="1:5" ht="15">
      <c r="A209" s="2">
        <v>150</v>
      </c>
      <c r="B209" s="3" t="s">
        <v>202</v>
      </c>
      <c r="C209" s="3" t="s">
        <v>203</v>
      </c>
      <c r="D209" s="11">
        <v>0.47189999999999999</v>
      </c>
      <c r="E209" s="4">
        <v>143840</v>
      </c>
    </row>
    <row r="210" spans="1:5" ht="15">
      <c r="A210" s="2">
        <v>2</v>
      </c>
      <c r="B210" s="3" t="s">
        <v>113</v>
      </c>
      <c r="C210" s="3" t="s">
        <v>114</v>
      </c>
      <c r="D210" s="11">
        <v>0.46839999999999998</v>
      </c>
      <c r="E210" s="4">
        <v>821029</v>
      </c>
    </row>
    <row r="211" spans="1:5" ht="15">
      <c r="A211" s="2">
        <v>192</v>
      </c>
      <c r="B211" s="3" t="s">
        <v>161</v>
      </c>
      <c r="C211" s="3" t="s">
        <v>162</v>
      </c>
      <c r="D211" s="11">
        <v>0.46689999999999998</v>
      </c>
      <c r="E211" s="4">
        <v>454336</v>
      </c>
    </row>
    <row r="212" spans="1:5" ht="15">
      <c r="A212" s="2">
        <v>155</v>
      </c>
      <c r="B212" s="3" t="s">
        <v>447</v>
      </c>
      <c r="C212" s="3" t="s">
        <v>448</v>
      </c>
      <c r="D212" s="11">
        <v>0.46610000000000001</v>
      </c>
      <c r="E212" s="4">
        <v>224688</v>
      </c>
    </row>
    <row r="213" spans="1:5" ht="15">
      <c r="A213" s="2">
        <v>190</v>
      </c>
      <c r="B213" s="3" t="s">
        <v>206</v>
      </c>
      <c r="C213" s="3" t="s">
        <v>207</v>
      </c>
      <c r="D213" s="11">
        <v>0.46589999999999998</v>
      </c>
      <c r="E213" s="4">
        <v>110095</v>
      </c>
    </row>
    <row r="214" spans="1:5" ht="15">
      <c r="A214" s="2">
        <v>250</v>
      </c>
      <c r="B214" s="3" t="s">
        <v>493</v>
      </c>
      <c r="C214" s="3" t="s">
        <v>494</v>
      </c>
      <c r="D214" s="11">
        <v>0.4597</v>
      </c>
      <c r="E214" s="4">
        <v>252960</v>
      </c>
    </row>
    <row r="215" spans="1:5" ht="15">
      <c r="A215" s="2">
        <v>20</v>
      </c>
      <c r="B215" s="3" t="s">
        <v>39</v>
      </c>
      <c r="C215" s="3" t="s">
        <v>40</v>
      </c>
      <c r="D215" s="11">
        <v>0.45929999999999999</v>
      </c>
      <c r="E215" s="4">
        <v>204352</v>
      </c>
    </row>
    <row r="216" spans="1:5" ht="15">
      <c r="A216" s="2">
        <v>95</v>
      </c>
      <c r="B216" s="3" t="s">
        <v>25</v>
      </c>
      <c r="C216" s="3" t="s">
        <v>26</v>
      </c>
      <c r="D216" s="11">
        <v>0.4531</v>
      </c>
      <c r="E216" s="4">
        <v>384010</v>
      </c>
    </row>
    <row r="217" spans="1:5" ht="15">
      <c r="A217" s="2">
        <v>104</v>
      </c>
      <c r="B217" s="3" t="s">
        <v>441</v>
      </c>
      <c r="C217" s="3" t="s">
        <v>442</v>
      </c>
      <c r="D217" s="11">
        <v>0.4526</v>
      </c>
      <c r="E217" s="4">
        <v>131440</v>
      </c>
    </row>
    <row r="218" spans="1:5" ht="15">
      <c r="A218" s="2">
        <v>98</v>
      </c>
      <c r="B218" s="3" t="s">
        <v>188</v>
      </c>
      <c r="C218" s="3" t="s">
        <v>189</v>
      </c>
      <c r="D218" s="11">
        <v>0.4516</v>
      </c>
      <c r="E218" s="4">
        <v>798560</v>
      </c>
    </row>
    <row r="219" spans="1:5" ht="15">
      <c r="A219" s="2">
        <v>91</v>
      </c>
      <c r="B219" s="3" t="s">
        <v>294</v>
      </c>
      <c r="C219" s="3" t="s">
        <v>295</v>
      </c>
      <c r="D219" s="11">
        <v>0.4511</v>
      </c>
      <c r="E219" s="4">
        <v>201376</v>
      </c>
    </row>
    <row r="220" spans="1:5" ht="15">
      <c r="A220" s="2">
        <v>199</v>
      </c>
      <c r="B220" s="3" t="s">
        <v>340</v>
      </c>
      <c r="C220" s="3" t="s">
        <v>341</v>
      </c>
      <c r="D220" s="11">
        <v>0.44590000000000002</v>
      </c>
      <c r="E220" s="4">
        <v>230094</v>
      </c>
    </row>
    <row r="221" spans="1:5" ht="15">
      <c r="A221" s="2">
        <v>224</v>
      </c>
      <c r="B221" s="3" t="s">
        <v>469</v>
      </c>
      <c r="C221" s="3" t="s">
        <v>470</v>
      </c>
      <c r="D221" s="11">
        <v>0.43990000000000001</v>
      </c>
      <c r="E221" s="4">
        <v>194928</v>
      </c>
    </row>
    <row r="222" spans="1:5" ht="15">
      <c r="A222" s="2">
        <v>16</v>
      </c>
      <c r="B222" s="3" t="s">
        <v>499</v>
      </c>
      <c r="C222" s="3" t="s">
        <v>500</v>
      </c>
      <c r="D222" s="11">
        <v>0.43359999999999999</v>
      </c>
      <c r="E222" s="4">
        <v>686882</v>
      </c>
    </row>
    <row r="223" spans="1:5" ht="15">
      <c r="A223" s="2">
        <v>76</v>
      </c>
      <c r="B223" s="3" t="s">
        <v>89</v>
      </c>
      <c r="C223" s="3" t="s">
        <v>90</v>
      </c>
      <c r="D223" s="11">
        <v>0.43290000000000001</v>
      </c>
      <c r="E223" s="4">
        <v>126480</v>
      </c>
    </row>
    <row r="224" spans="1:5" ht="15">
      <c r="A224" s="2">
        <v>90</v>
      </c>
      <c r="B224" s="3" t="s">
        <v>171</v>
      </c>
      <c r="C224" s="3" t="s">
        <v>172</v>
      </c>
      <c r="D224" s="11">
        <v>0.42830000000000001</v>
      </c>
      <c r="E224" s="4">
        <v>245024</v>
      </c>
    </row>
    <row r="225" spans="1:6" ht="15">
      <c r="A225" s="2">
        <v>240</v>
      </c>
      <c r="B225" s="3" t="s">
        <v>45</v>
      </c>
      <c r="C225" s="3" t="s">
        <v>46</v>
      </c>
      <c r="D225" s="11">
        <v>0.42609999999999998</v>
      </c>
      <c r="E225" s="4">
        <v>178560</v>
      </c>
    </row>
    <row r="226" spans="1:6" ht="15">
      <c r="A226" s="2">
        <v>140</v>
      </c>
      <c r="B226" s="3" t="s">
        <v>445</v>
      </c>
      <c r="C226" s="3" t="s">
        <v>446</v>
      </c>
      <c r="D226" s="11">
        <v>0.42249999999999999</v>
      </c>
      <c r="E226" s="4">
        <v>180544</v>
      </c>
    </row>
    <row r="227" spans="1:6" ht="15">
      <c r="A227" s="2">
        <v>108</v>
      </c>
      <c r="B227" s="3" t="s">
        <v>430</v>
      </c>
      <c r="C227" s="3" t="s">
        <v>335</v>
      </c>
      <c r="D227" s="11">
        <v>0.4178</v>
      </c>
      <c r="E227" s="4">
        <v>178577</v>
      </c>
    </row>
    <row r="228" spans="1:6" ht="15">
      <c r="A228" s="2">
        <v>198</v>
      </c>
      <c r="B228" s="3" t="s">
        <v>31</v>
      </c>
      <c r="C228" s="3" t="s">
        <v>32</v>
      </c>
      <c r="D228" s="11">
        <v>0.41499999999999998</v>
      </c>
      <c r="E228" s="4">
        <v>329119</v>
      </c>
    </row>
    <row r="229" spans="1:6" ht="15">
      <c r="A229" s="2">
        <v>79</v>
      </c>
      <c r="B229" s="3" t="s">
        <v>410</v>
      </c>
      <c r="C229" s="3" t="s">
        <v>411</v>
      </c>
      <c r="D229" s="11">
        <v>0.41460000000000002</v>
      </c>
      <c r="E229" s="4">
        <v>16864</v>
      </c>
    </row>
    <row r="230" spans="1:6" ht="15">
      <c r="A230" s="2">
        <v>203</v>
      </c>
      <c r="B230" s="3" t="s">
        <v>382</v>
      </c>
      <c r="C230" s="3" t="s">
        <v>383</v>
      </c>
      <c r="D230" s="11">
        <v>0.41449999999999998</v>
      </c>
      <c r="E230" s="4">
        <v>313872</v>
      </c>
    </row>
    <row r="231" spans="1:6" ht="15">
      <c r="A231" s="2">
        <v>220</v>
      </c>
      <c r="B231" s="3" t="s">
        <v>184</v>
      </c>
      <c r="C231" s="3" t="s">
        <v>185</v>
      </c>
      <c r="D231" s="11">
        <v>0.41420000000000001</v>
      </c>
      <c r="E231" s="4">
        <v>823856</v>
      </c>
    </row>
    <row r="232" spans="1:6" ht="15">
      <c r="A232" s="2">
        <v>219</v>
      </c>
      <c r="B232" s="3" t="s">
        <v>511</v>
      </c>
      <c r="C232" s="3" t="s">
        <v>512</v>
      </c>
      <c r="D232" s="11">
        <v>0.41310000000000002</v>
      </c>
      <c r="E232" s="4">
        <v>775744</v>
      </c>
    </row>
    <row r="233" spans="1:6" ht="15">
      <c r="A233" s="2">
        <v>47</v>
      </c>
      <c r="B233" s="3" t="s">
        <v>145</v>
      </c>
      <c r="C233" s="3" t="s">
        <v>146</v>
      </c>
      <c r="D233" s="11">
        <v>0.3977</v>
      </c>
      <c r="E233" s="4">
        <v>1724063</v>
      </c>
    </row>
    <row r="234" spans="1:6" ht="15">
      <c r="A234" s="2">
        <v>205</v>
      </c>
      <c r="B234" s="3" t="s">
        <v>489</v>
      </c>
      <c r="C234" s="3" t="s">
        <v>490</v>
      </c>
      <c r="D234" s="11">
        <v>0.39739999999999998</v>
      </c>
      <c r="E234" s="4">
        <v>333434</v>
      </c>
    </row>
    <row r="235" spans="1:6" ht="15">
      <c r="A235" s="2">
        <v>75</v>
      </c>
      <c r="B235" s="3" t="s">
        <v>479</v>
      </c>
      <c r="C235" s="3" t="s">
        <v>480</v>
      </c>
      <c r="D235" s="11">
        <v>0.39279999999999998</v>
      </c>
      <c r="E235" s="4">
        <v>209312</v>
      </c>
    </row>
    <row r="236" spans="1:6" ht="15">
      <c r="A236" s="2">
        <v>78</v>
      </c>
      <c r="B236" s="3" t="s">
        <v>406</v>
      </c>
      <c r="C236" s="3" t="s">
        <v>407</v>
      </c>
      <c r="D236" s="11">
        <v>0.3911</v>
      </c>
      <c r="E236" s="4">
        <v>69440</v>
      </c>
    </row>
    <row r="237" spans="1:6" ht="15">
      <c r="A237" s="2">
        <v>80</v>
      </c>
      <c r="B237" s="3" t="s">
        <v>408</v>
      </c>
      <c r="C237" s="3" t="s">
        <v>409</v>
      </c>
      <c r="D237" s="11">
        <v>0.38479999999999998</v>
      </c>
      <c r="E237" s="4">
        <v>75392</v>
      </c>
    </row>
    <row r="238" spans="1:6" ht="15">
      <c r="A238" s="2">
        <v>82</v>
      </c>
      <c r="B238" s="3" t="s">
        <v>481</v>
      </c>
      <c r="C238" s="3" t="s">
        <v>482</v>
      </c>
      <c r="D238" s="11">
        <v>0.37680000000000002</v>
      </c>
      <c r="E238" s="4">
        <v>382176</v>
      </c>
      <c r="F238" s="16"/>
    </row>
    <row r="239" spans="1:6" ht="15">
      <c r="A239" s="2">
        <v>97</v>
      </c>
      <c r="B239" s="3" t="s">
        <v>147</v>
      </c>
      <c r="C239" s="3" t="s">
        <v>148</v>
      </c>
      <c r="D239" s="11">
        <v>0.36799999999999999</v>
      </c>
      <c r="E239" s="4">
        <v>527010</v>
      </c>
    </row>
    <row r="240" spans="1:6" ht="15">
      <c r="A240" s="2">
        <v>41</v>
      </c>
      <c r="B240" s="3" t="s">
        <v>157</v>
      </c>
      <c r="C240" s="3" t="s">
        <v>158</v>
      </c>
      <c r="D240" s="11">
        <v>0.36759999999999998</v>
      </c>
      <c r="E240" s="4">
        <v>149296</v>
      </c>
    </row>
    <row r="241" spans="1:5" ht="15">
      <c r="A241" s="2">
        <v>13</v>
      </c>
      <c r="B241" s="3" t="s">
        <v>424</v>
      </c>
      <c r="C241" s="3" t="s">
        <v>425</v>
      </c>
      <c r="D241" s="11">
        <v>0.36630000000000001</v>
      </c>
      <c r="E241" s="4">
        <v>227403</v>
      </c>
    </row>
    <row r="242" spans="1:5" ht="15">
      <c r="A242" s="2">
        <v>83</v>
      </c>
      <c r="B242" s="3" t="s">
        <v>483</v>
      </c>
      <c r="C242" s="3" t="s">
        <v>484</v>
      </c>
      <c r="D242" s="11">
        <v>0.36280000000000001</v>
      </c>
      <c r="E242" s="4">
        <v>1427984</v>
      </c>
    </row>
    <row r="243" spans="1:5" ht="15">
      <c r="A243" s="2">
        <v>244</v>
      </c>
      <c r="B243" s="3" t="s">
        <v>155</v>
      </c>
      <c r="C243" s="3" t="s">
        <v>156</v>
      </c>
      <c r="D243" s="11">
        <v>0.3614</v>
      </c>
      <c r="E243" s="4">
        <v>525115</v>
      </c>
    </row>
    <row r="244" spans="1:5" ht="15">
      <c r="A244" s="2">
        <v>18</v>
      </c>
      <c r="B244" s="3" t="s">
        <v>426</v>
      </c>
      <c r="C244" s="3" t="s">
        <v>427</v>
      </c>
      <c r="D244" s="11">
        <v>0.35909999999999997</v>
      </c>
      <c r="E244" s="4">
        <v>764336</v>
      </c>
    </row>
    <row r="245" spans="1:5" ht="15">
      <c r="A245" s="2">
        <v>160</v>
      </c>
      <c r="B245" s="3" t="s">
        <v>151</v>
      </c>
      <c r="C245" s="3" t="s">
        <v>152</v>
      </c>
      <c r="D245" s="11">
        <v>0.35899999999999999</v>
      </c>
      <c r="E245" s="4">
        <v>224156</v>
      </c>
    </row>
    <row r="246" spans="1:5" ht="15">
      <c r="A246" s="2">
        <v>138</v>
      </c>
      <c r="B246" s="3" t="s">
        <v>179</v>
      </c>
      <c r="C246" s="3" t="s">
        <v>64</v>
      </c>
      <c r="D246" s="11">
        <v>0.34489999999999998</v>
      </c>
      <c r="E246" s="4">
        <v>460949</v>
      </c>
    </row>
    <row r="247" spans="1:5" ht="15">
      <c r="A247" s="2">
        <v>29</v>
      </c>
      <c r="B247" s="3" t="s">
        <v>101</v>
      </c>
      <c r="C247" s="3" t="s">
        <v>102</v>
      </c>
      <c r="D247" s="11">
        <v>0.34470000000000001</v>
      </c>
      <c r="E247" s="4">
        <v>286420</v>
      </c>
    </row>
    <row r="248" spans="1:5" ht="15">
      <c r="A248" s="2">
        <v>257</v>
      </c>
      <c r="B248" s="3" t="s">
        <v>240</v>
      </c>
      <c r="C248" s="3" t="s">
        <v>241</v>
      </c>
      <c r="D248" s="11">
        <v>0.34260000000000002</v>
      </c>
      <c r="E248" s="4">
        <v>524272</v>
      </c>
    </row>
    <row r="249" spans="1:5" ht="15">
      <c r="A249" s="2">
        <v>260</v>
      </c>
      <c r="B249" s="3" t="s">
        <v>83</v>
      </c>
      <c r="C249" s="3" t="s">
        <v>84</v>
      </c>
      <c r="D249" s="11">
        <v>0.32919999999999999</v>
      </c>
      <c r="E249" s="4">
        <v>95728</v>
      </c>
    </row>
    <row r="250" spans="1:5" ht="15">
      <c r="A250" s="2">
        <v>32</v>
      </c>
      <c r="B250" s="3" t="s">
        <v>286</v>
      </c>
      <c r="C250" s="3" t="s">
        <v>287</v>
      </c>
      <c r="D250" s="11">
        <v>0.31990000000000002</v>
      </c>
      <c r="E250" s="4">
        <v>1603819</v>
      </c>
    </row>
    <row r="251" spans="1:5" ht="15">
      <c r="A251" s="2">
        <v>197</v>
      </c>
      <c r="B251" s="3" t="s">
        <v>467</v>
      </c>
      <c r="C251" s="3" t="s">
        <v>468</v>
      </c>
      <c r="D251" s="11">
        <v>0.29670000000000002</v>
      </c>
      <c r="E251" s="4">
        <v>84816</v>
      </c>
    </row>
    <row r="252" spans="1:5" ht="15">
      <c r="A252" s="2">
        <v>30</v>
      </c>
      <c r="B252" s="3" t="s">
        <v>428</v>
      </c>
      <c r="C252" s="3" t="s">
        <v>429</v>
      </c>
      <c r="D252" s="11">
        <v>0.29480000000000001</v>
      </c>
      <c r="E252" s="4">
        <v>962240</v>
      </c>
    </row>
    <row r="253" spans="1:5" ht="15">
      <c r="A253" s="2">
        <v>6</v>
      </c>
      <c r="B253" s="3" t="s">
        <v>300</v>
      </c>
      <c r="C253" s="3" t="s">
        <v>301</v>
      </c>
      <c r="D253" s="11">
        <v>0.28599999999999998</v>
      </c>
      <c r="E253" s="4">
        <v>55552</v>
      </c>
    </row>
    <row r="254" spans="1:5" ht="15">
      <c r="A254" s="2">
        <v>100</v>
      </c>
      <c r="B254" s="3" t="s">
        <v>439</v>
      </c>
      <c r="C254" s="3" t="s">
        <v>440</v>
      </c>
      <c r="D254" s="11">
        <v>0.2797</v>
      </c>
      <c r="E254" s="4">
        <v>445904</v>
      </c>
    </row>
    <row r="255" spans="1:5" ht="15">
      <c r="A255" s="2">
        <v>146</v>
      </c>
      <c r="B255" s="3" t="s">
        <v>412</v>
      </c>
      <c r="C255" s="3" t="s">
        <v>413</v>
      </c>
      <c r="D255" s="11">
        <v>0.26190000000000002</v>
      </c>
      <c r="E255" s="4">
        <v>38192</v>
      </c>
    </row>
    <row r="256" spans="1:5" ht="15">
      <c r="A256" s="2">
        <v>19</v>
      </c>
      <c r="B256" s="3" t="s">
        <v>19</v>
      </c>
      <c r="C256" s="3" t="s">
        <v>20</v>
      </c>
      <c r="D256" s="11">
        <v>0.2601</v>
      </c>
      <c r="E256" s="4">
        <v>1646885</v>
      </c>
    </row>
    <row r="257" spans="1:5" ht="15">
      <c r="A257" s="2">
        <v>1</v>
      </c>
      <c r="B257" s="3" t="s">
        <v>396</v>
      </c>
      <c r="C257" s="3" t="s">
        <v>397</v>
      </c>
      <c r="D257" s="11">
        <v>0.22670000000000001</v>
      </c>
      <c r="E257" s="4">
        <v>0</v>
      </c>
    </row>
    <row r="258" spans="1:5" ht="15">
      <c r="A258" s="2">
        <v>241</v>
      </c>
      <c r="B258" s="3" t="s">
        <v>109</v>
      </c>
      <c r="C258" s="3" t="s">
        <v>110</v>
      </c>
      <c r="D258" s="11">
        <v>0.21820000000000001</v>
      </c>
      <c r="E258" s="4">
        <v>207444</v>
      </c>
    </row>
    <row r="259" spans="1:5" ht="15">
      <c r="A259" s="2">
        <v>145</v>
      </c>
      <c r="B259" s="3" t="s">
        <v>398</v>
      </c>
      <c r="C259" s="3" t="s">
        <v>399</v>
      </c>
      <c r="D259" s="11">
        <v>0.2102</v>
      </c>
      <c r="E259" s="4">
        <v>46479</v>
      </c>
    </row>
    <row r="260" spans="1:5" ht="15">
      <c r="A260" s="2">
        <v>17</v>
      </c>
      <c r="B260" s="3" t="s">
        <v>33</v>
      </c>
      <c r="C260" s="3" t="s">
        <v>34</v>
      </c>
      <c r="D260" s="11">
        <v>0.15049999999999999</v>
      </c>
      <c r="E260" s="4">
        <v>0</v>
      </c>
    </row>
    <row r="261" spans="1:5" ht="15">
      <c r="A261" s="2">
        <v>185</v>
      </c>
      <c r="B261" s="3" t="s">
        <v>35</v>
      </c>
      <c r="C261" s="3" t="s">
        <v>36</v>
      </c>
      <c r="D261" s="15">
        <v>0.1346</v>
      </c>
      <c r="E261" s="4">
        <v>0</v>
      </c>
    </row>
    <row r="262" spans="1:5" ht="15">
      <c r="A262" s="2">
        <v>5</v>
      </c>
      <c r="B262" s="3" t="s">
        <v>402</v>
      </c>
      <c r="C262" s="3" t="s">
        <v>403</v>
      </c>
      <c r="D262" s="11">
        <v>0</v>
      </c>
      <c r="E262" s="4">
        <v>0</v>
      </c>
    </row>
    <row r="263" spans="1:5" ht="15">
      <c r="A263" s="2">
        <v>103</v>
      </c>
      <c r="B263" s="3" t="s">
        <v>495</v>
      </c>
      <c r="C263" s="3" t="s">
        <v>496</v>
      </c>
      <c r="D263" s="11">
        <v>0</v>
      </c>
      <c r="E263" s="4">
        <v>0</v>
      </c>
    </row>
    <row r="264" spans="1:5" ht="15" customHeight="1">
      <c r="A264" s="52" t="s">
        <v>525</v>
      </c>
      <c r="B264" s="53"/>
      <c r="C264" s="54"/>
      <c r="D264" s="12"/>
      <c r="E264" s="5">
        <v>157767290</v>
      </c>
    </row>
    <row r="265" spans="1:5" ht="15">
      <c r="B265" s="7" t="s">
        <v>526</v>
      </c>
      <c r="C265" s="8">
        <v>0.53978009000000005</v>
      </c>
      <c r="D265" s="13"/>
    </row>
    <row r="266" spans="1:5" ht="15">
      <c r="C266" s="6">
        <v>40087</v>
      </c>
      <c r="D266" s="14"/>
    </row>
  </sheetData>
  <mergeCells count="1">
    <mergeCell ref="A264:C264"/>
  </mergeCells>
  <phoneticPr fontId="0" type="noConversion"/>
  <pageMargins left="0.75" right="0.75" top="1" bottom="1" header="0.5" footer="0.5"/>
  <pageSetup scale="70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2"/>
  <sheetViews>
    <sheetView tabSelected="1" zoomScaleNormal="100" workbookViewId="0">
      <pane ySplit="1" topLeftCell="A125" activePane="bottomLeft" state="frozen"/>
      <selection pane="bottomLeft" activeCell="O262" sqref="O262"/>
    </sheetView>
  </sheetViews>
  <sheetFormatPr defaultRowHeight="13.5"/>
  <cols>
    <col min="1" max="1" width="31.42578125" style="34" bestFit="1" customWidth="1"/>
    <col min="2" max="3" width="10.28515625" style="41" customWidth="1"/>
    <col min="4" max="4" width="14.85546875" style="41" customWidth="1"/>
    <col min="5" max="5" width="11.5703125" style="42" hidden="1" customWidth="1"/>
    <col min="6" max="6" width="13.7109375" style="42" customWidth="1"/>
    <col min="7" max="7" width="15.28515625" style="42" customWidth="1"/>
    <col min="8" max="8" width="16.7109375" style="42" bestFit="1" customWidth="1"/>
    <col min="9" max="9" width="12.85546875" style="42" customWidth="1"/>
    <col min="10" max="10" width="12.5703125" style="41" bestFit="1" customWidth="1"/>
    <col min="11" max="11" width="16.42578125" style="41" bestFit="1" customWidth="1"/>
    <col min="12" max="13" width="16.7109375" style="41" bestFit="1" customWidth="1"/>
    <col min="14" max="14" width="17.85546875" style="41" bestFit="1" customWidth="1"/>
    <col min="15" max="15" width="14.85546875" style="34" bestFit="1" customWidth="1"/>
    <col min="16" max="16" width="9.140625" style="41"/>
    <col min="17" max="16384" width="9.140625" style="34"/>
  </cols>
  <sheetData>
    <row r="1" spans="1:16" s="22" customFormat="1" ht="135">
      <c r="A1" s="17" t="s">
        <v>2</v>
      </c>
      <c r="B1" s="28" t="s">
        <v>529</v>
      </c>
      <c r="C1" s="28" t="s">
        <v>534</v>
      </c>
      <c r="D1" s="28" t="s">
        <v>535</v>
      </c>
      <c r="E1" s="19" t="s">
        <v>540</v>
      </c>
      <c r="F1" s="18" t="s">
        <v>531</v>
      </c>
      <c r="G1" s="19" t="s">
        <v>541</v>
      </c>
      <c r="H1" s="19" t="s">
        <v>532</v>
      </c>
      <c r="I1" s="19" t="s">
        <v>533</v>
      </c>
      <c r="J1" s="26" t="s">
        <v>542</v>
      </c>
      <c r="K1" s="48" t="s">
        <v>543</v>
      </c>
      <c r="L1" s="49" t="s">
        <v>544</v>
      </c>
      <c r="M1" s="49" t="s">
        <v>545</v>
      </c>
      <c r="N1" s="49" t="s">
        <v>546</v>
      </c>
      <c r="O1" s="25" t="s">
        <v>538</v>
      </c>
      <c r="P1" s="26" t="s">
        <v>539</v>
      </c>
    </row>
    <row r="2" spans="1:16">
      <c r="A2" s="20" t="s">
        <v>114</v>
      </c>
      <c r="B2" s="29">
        <v>0.46839999999999998</v>
      </c>
      <c r="C2" s="29">
        <v>6.3200000000000006E-2</v>
      </c>
      <c r="D2" s="29">
        <v>0.35</v>
      </c>
      <c r="E2" s="21">
        <v>0</v>
      </c>
      <c r="F2" s="21">
        <v>821029</v>
      </c>
      <c r="G2" s="21">
        <f t="shared" ref="G2:G48" si="0">E2+F2</f>
        <v>821029</v>
      </c>
      <c r="H2" s="21">
        <v>821029</v>
      </c>
      <c r="I2" s="21">
        <v>0</v>
      </c>
      <c r="J2" s="27">
        <f t="shared" ref="J2:J65" si="1">I2/G2</f>
        <v>0</v>
      </c>
      <c r="K2" s="46">
        <v>0</v>
      </c>
      <c r="L2" s="47">
        <v>0</v>
      </c>
      <c r="M2" s="47">
        <v>0</v>
      </c>
      <c r="N2" s="47">
        <v>0</v>
      </c>
      <c r="O2" s="32">
        <f t="shared" ref="O2:O65" si="2">SUM(L2:N2)</f>
        <v>0</v>
      </c>
      <c r="P2" s="33">
        <f t="shared" ref="P2:P65" si="3">O2/F2</f>
        <v>0</v>
      </c>
    </row>
    <row r="3" spans="1:16">
      <c r="A3" s="20" t="s">
        <v>38</v>
      </c>
      <c r="B3" s="29">
        <v>0.57720000000000005</v>
      </c>
      <c r="C3" s="29">
        <v>3.4700000000000002E-2</v>
      </c>
      <c r="D3" s="29">
        <v>0.24</v>
      </c>
      <c r="E3" s="21">
        <v>12726.11</v>
      </c>
      <c r="F3" s="21">
        <v>129456</v>
      </c>
      <c r="G3" s="21">
        <f t="shared" si="0"/>
        <v>142182.10999999999</v>
      </c>
      <c r="H3" s="21">
        <v>122372.99</v>
      </c>
      <c r="I3" s="21">
        <v>19809.12</v>
      </c>
      <c r="J3" s="27">
        <f t="shared" si="1"/>
        <v>0.13932216929401314</v>
      </c>
      <c r="K3" s="46">
        <v>0</v>
      </c>
      <c r="L3" s="47">
        <v>0</v>
      </c>
      <c r="M3" s="47">
        <v>0</v>
      </c>
      <c r="N3" s="47">
        <v>0</v>
      </c>
      <c r="O3" s="32">
        <f t="shared" si="2"/>
        <v>0</v>
      </c>
      <c r="P3" s="33">
        <f t="shared" si="3"/>
        <v>0</v>
      </c>
    </row>
    <row r="4" spans="1:16">
      <c r="A4" s="20" t="s">
        <v>66</v>
      </c>
      <c r="B4" s="29">
        <v>0.50880000000000003</v>
      </c>
      <c r="C4" s="29">
        <v>0.41299999999999998</v>
      </c>
      <c r="D4" s="29">
        <v>0.28999999999999998</v>
      </c>
      <c r="E4" s="21">
        <v>66841.679999999993</v>
      </c>
      <c r="F4" s="21">
        <v>503440</v>
      </c>
      <c r="G4" s="21">
        <f t="shared" si="0"/>
        <v>570281.67999999993</v>
      </c>
      <c r="H4" s="21">
        <v>505904.05</v>
      </c>
      <c r="I4" s="21">
        <v>55706.400000000001</v>
      </c>
      <c r="J4" s="27">
        <f t="shared" si="1"/>
        <v>9.7682254145004282E-2</v>
      </c>
      <c r="K4" s="46">
        <v>8671.23</v>
      </c>
      <c r="L4" s="47">
        <v>0</v>
      </c>
      <c r="M4" s="47">
        <v>49609.79</v>
      </c>
      <c r="N4" s="47">
        <v>47082.94</v>
      </c>
      <c r="O4" s="32">
        <f t="shared" si="2"/>
        <v>96692.73000000001</v>
      </c>
      <c r="P4" s="35">
        <f t="shared" si="3"/>
        <v>0.19206405927220724</v>
      </c>
    </row>
    <row r="5" spans="1:16">
      <c r="A5" s="20" t="s">
        <v>301</v>
      </c>
      <c r="B5" s="29">
        <v>0.28599999999999998</v>
      </c>
      <c r="C5" s="29">
        <v>0.1663</v>
      </c>
      <c r="D5" s="29">
        <v>0.21</v>
      </c>
      <c r="E5" s="21">
        <v>2308.4499999999998</v>
      </c>
      <c r="F5" s="21">
        <v>55552</v>
      </c>
      <c r="G5" s="21">
        <f t="shared" si="0"/>
        <v>57860.45</v>
      </c>
      <c r="H5" s="21">
        <v>61912.160000000003</v>
      </c>
      <c r="I5" s="21">
        <v>4948.29</v>
      </c>
      <c r="J5" s="27">
        <f t="shared" si="1"/>
        <v>8.5521111571029956E-2</v>
      </c>
      <c r="K5" s="46">
        <v>0</v>
      </c>
      <c r="L5" s="47">
        <v>0</v>
      </c>
      <c r="M5" s="47">
        <v>0</v>
      </c>
      <c r="N5" s="47">
        <v>0</v>
      </c>
      <c r="O5" s="32">
        <f t="shared" si="2"/>
        <v>0</v>
      </c>
      <c r="P5" s="33">
        <f t="shared" si="3"/>
        <v>0</v>
      </c>
    </row>
    <row r="6" spans="1:16">
      <c r="A6" s="20" t="s">
        <v>269</v>
      </c>
      <c r="B6" s="29">
        <v>0.50960000000000005</v>
      </c>
      <c r="C6" s="29">
        <v>0.36159999999999998</v>
      </c>
      <c r="D6" s="29">
        <v>0.19</v>
      </c>
      <c r="E6" s="21">
        <v>44965.07</v>
      </c>
      <c r="F6" s="21">
        <v>399776</v>
      </c>
      <c r="G6" s="21">
        <f t="shared" si="0"/>
        <v>444741.07</v>
      </c>
      <c r="H6" s="21">
        <v>412677.32</v>
      </c>
      <c r="I6" s="21">
        <v>32063.75</v>
      </c>
      <c r="J6" s="27">
        <f t="shared" si="1"/>
        <v>7.2095320542355124E-2</v>
      </c>
      <c r="K6" s="46">
        <v>0</v>
      </c>
      <c r="L6" s="47">
        <v>0</v>
      </c>
      <c r="M6" s="47">
        <v>0</v>
      </c>
      <c r="N6" s="47">
        <v>0</v>
      </c>
      <c r="O6" s="32">
        <f t="shared" si="2"/>
        <v>0</v>
      </c>
      <c r="P6" s="33">
        <f t="shared" si="3"/>
        <v>0</v>
      </c>
    </row>
    <row r="7" spans="1:16">
      <c r="A7" s="20" t="s">
        <v>377</v>
      </c>
      <c r="B7" s="29">
        <v>0.55059999999999998</v>
      </c>
      <c r="C7" s="29">
        <v>6.9000000000000006E-2</v>
      </c>
      <c r="D7" s="29">
        <v>0.16</v>
      </c>
      <c r="E7" s="21">
        <v>35618.239999999998</v>
      </c>
      <c r="F7" s="21">
        <v>290160</v>
      </c>
      <c r="G7" s="21">
        <f t="shared" si="0"/>
        <v>325778.24</v>
      </c>
      <c r="H7" s="21">
        <v>287436.33</v>
      </c>
      <c r="I7" s="21">
        <v>38341.910000000003</v>
      </c>
      <c r="J7" s="27">
        <f t="shared" si="1"/>
        <v>0.11769328117187938</v>
      </c>
      <c r="K7" s="46">
        <v>0</v>
      </c>
      <c r="L7" s="47">
        <v>0</v>
      </c>
      <c r="M7" s="47">
        <v>27301.8</v>
      </c>
      <c r="N7" s="47">
        <v>0</v>
      </c>
      <c r="O7" s="32">
        <f t="shared" si="2"/>
        <v>27301.8</v>
      </c>
      <c r="P7" s="35">
        <f t="shared" si="3"/>
        <v>9.4092224979321751E-2</v>
      </c>
    </row>
    <row r="8" spans="1:16">
      <c r="A8" s="20" t="s">
        <v>514</v>
      </c>
      <c r="B8" s="29">
        <v>1</v>
      </c>
      <c r="C8" s="29">
        <v>0.67559999999999998</v>
      </c>
      <c r="D8" s="29">
        <v>0.37</v>
      </c>
      <c r="E8" s="21">
        <v>29149.43</v>
      </c>
      <c r="F8" s="21">
        <v>457312</v>
      </c>
      <c r="G8" s="21">
        <f t="shared" si="0"/>
        <v>486461.43</v>
      </c>
      <c r="H8" s="21">
        <v>429205.63</v>
      </c>
      <c r="I8" s="21">
        <v>43332.800000000003</v>
      </c>
      <c r="J8" s="27">
        <f t="shared" si="1"/>
        <v>8.9077565717800081E-2</v>
      </c>
      <c r="K8" s="46">
        <v>16523</v>
      </c>
      <c r="L8" s="47">
        <v>0</v>
      </c>
      <c r="M8" s="47">
        <v>50631.19</v>
      </c>
      <c r="N8" s="47">
        <v>0</v>
      </c>
      <c r="O8" s="32">
        <f t="shared" si="2"/>
        <v>50631.19</v>
      </c>
      <c r="P8" s="35">
        <f t="shared" si="3"/>
        <v>0.1107147636624449</v>
      </c>
    </row>
    <row r="9" spans="1:16">
      <c r="A9" s="20" t="s">
        <v>498</v>
      </c>
      <c r="B9" s="29">
        <v>0.62060000000000004</v>
      </c>
      <c r="C9" s="29">
        <v>0.1176</v>
      </c>
      <c r="D9" s="29">
        <v>0.28999999999999998</v>
      </c>
      <c r="E9" s="21">
        <v>104748.01</v>
      </c>
      <c r="F9" s="21">
        <v>414656</v>
      </c>
      <c r="G9" s="21">
        <f t="shared" si="0"/>
        <v>519404.01</v>
      </c>
      <c r="H9" s="21">
        <v>359762.63</v>
      </c>
      <c r="I9" s="21">
        <v>159641.38</v>
      </c>
      <c r="J9" s="27">
        <f t="shared" si="1"/>
        <v>0.30735492396371755</v>
      </c>
      <c r="K9" s="46">
        <v>0</v>
      </c>
      <c r="L9" s="47">
        <v>0</v>
      </c>
      <c r="M9" s="47">
        <v>0</v>
      </c>
      <c r="N9" s="47">
        <v>14155.14</v>
      </c>
      <c r="O9" s="32">
        <f t="shared" si="2"/>
        <v>14155.14</v>
      </c>
      <c r="P9" s="35">
        <f t="shared" si="3"/>
        <v>3.4137067834542366E-2</v>
      </c>
    </row>
    <row r="10" spans="1:16">
      <c r="A10" s="20" t="s">
        <v>343</v>
      </c>
      <c r="B10" s="29">
        <v>0.66369999999999996</v>
      </c>
      <c r="C10" s="29">
        <v>0.3695</v>
      </c>
      <c r="D10" s="29">
        <v>0.18</v>
      </c>
      <c r="E10" s="21">
        <v>123437.8</v>
      </c>
      <c r="F10" s="21">
        <v>249488</v>
      </c>
      <c r="G10" s="21">
        <f t="shared" si="0"/>
        <v>372925.8</v>
      </c>
      <c r="H10" s="21">
        <v>196194.38</v>
      </c>
      <c r="I10" s="21">
        <v>176731.42</v>
      </c>
      <c r="J10" s="27">
        <f t="shared" si="1"/>
        <v>0.47390505028077978</v>
      </c>
      <c r="K10" s="46">
        <v>0</v>
      </c>
      <c r="L10" s="47">
        <v>0</v>
      </c>
      <c r="M10" s="47">
        <v>9950.1200000000008</v>
      </c>
      <c r="N10" s="47">
        <v>0</v>
      </c>
      <c r="O10" s="32">
        <f t="shared" si="2"/>
        <v>9950.1200000000008</v>
      </c>
      <c r="P10" s="35">
        <f t="shared" si="3"/>
        <v>3.9882158660937604E-2</v>
      </c>
    </row>
    <row r="11" spans="1:16">
      <c r="A11" s="20" t="s">
        <v>215</v>
      </c>
      <c r="B11" s="29">
        <v>0.52049999999999996</v>
      </c>
      <c r="C11" s="29">
        <v>0.2205</v>
      </c>
      <c r="D11" s="29">
        <v>0.28999999999999998</v>
      </c>
      <c r="E11" s="21">
        <v>22690.34</v>
      </c>
      <c r="F11" s="21">
        <v>663152</v>
      </c>
      <c r="G11" s="21">
        <f t="shared" si="0"/>
        <v>685842.34</v>
      </c>
      <c r="H11" s="21">
        <v>655275.85</v>
      </c>
      <c r="I11" s="21">
        <v>30566.49</v>
      </c>
      <c r="J11" s="27">
        <f t="shared" si="1"/>
        <v>4.4567808397480979E-2</v>
      </c>
      <c r="K11" s="46">
        <v>0</v>
      </c>
      <c r="L11" s="47">
        <v>0</v>
      </c>
      <c r="M11" s="47">
        <v>0</v>
      </c>
      <c r="N11" s="47">
        <v>0</v>
      </c>
      <c r="O11" s="32">
        <f t="shared" si="2"/>
        <v>0</v>
      </c>
      <c r="P11" s="33">
        <f t="shared" si="3"/>
        <v>0</v>
      </c>
    </row>
    <row r="12" spans="1:16">
      <c r="A12" s="20" t="s">
        <v>425</v>
      </c>
      <c r="B12" s="29">
        <v>0.36630000000000001</v>
      </c>
      <c r="C12" s="29">
        <v>4.3999999999999997E-2</v>
      </c>
      <c r="D12" s="29">
        <v>0.38</v>
      </c>
      <c r="E12" s="21">
        <v>872.42</v>
      </c>
      <c r="F12" s="21">
        <v>227403</v>
      </c>
      <c r="G12" s="21">
        <f t="shared" si="0"/>
        <v>228275.42</v>
      </c>
      <c r="H12" s="21">
        <v>220582.76</v>
      </c>
      <c r="I12" s="21">
        <v>7692.66</v>
      </c>
      <c r="J12" s="27">
        <f t="shared" si="1"/>
        <v>3.3699029006276714E-2</v>
      </c>
      <c r="K12" s="46">
        <v>0</v>
      </c>
      <c r="L12" s="47">
        <v>0</v>
      </c>
      <c r="M12" s="47">
        <v>0</v>
      </c>
      <c r="N12" s="47">
        <f>7709.98+37977.02</f>
        <v>45687</v>
      </c>
      <c r="O12" s="32">
        <f t="shared" si="2"/>
        <v>45687</v>
      </c>
      <c r="P12" s="35">
        <f t="shared" si="3"/>
        <v>0.20090763974090051</v>
      </c>
    </row>
    <row r="13" spans="1:16">
      <c r="A13" s="20" t="s">
        <v>98</v>
      </c>
      <c r="B13" s="29">
        <v>0.48809999999999998</v>
      </c>
      <c r="C13" s="29">
        <v>3.7699999999999997E-2</v>
      </c>
      <c r="D13" s="29">
        <v>0.15</v>
      </c>
      <c r="E13" s="21">
        <v>85337.41</v>
      </c>
      <c r="F13" s="21">
        <v>122016</v>
      </c>
      <c r="G13" s="21">
        <f t="shared" si="0"/>
        <v>207353.41</v>
      </c>
      <c r="H13" s="21">
        <v>182988.28</v>
      </c>
      <c r="I13" s="21">
        <v>38736.32</v>
      </c>
      <c r="J13" s="27">
        <f t="shared" si="1"/>
        <v>0.18681303577307939</v>
      </c>
      <c r="K13" s="46">
        <v>0</v>
      </c>
      <c r="L13" s="47">
        <v>4625.93</v>
      </c>
      <c r="M13" s="47">
        <v>0</v>
      </c>
      <c r="N13" s="47">
        <f>16538.26+1259.08</f>
        <v>17797.339999999997</v>
      </c>
      <c r="O13" s="32">
        <f t="shared" si="2"/>
        <v>22423.269999999997</v>
      </c>
      <c r="P13" s="35">
        <f t="shared" si="3"/>
        <v>0.18377319367951742</v>
      </c>
    </row>
    <row r="14" spans="1:16">
      <c r="A14" s="20" t="s">
        <v>331</v>
      </c>
      <c r="B14" s="29">
        <v>0.72850000000000004</v>
      </c>
      <c r="C14" s="29">
        <v>0.4239</v>
      </c>
      <c r="D14" s="29">
        <v>0.22</v>
      </c>
      <c r="E14" s="21">
        <v>27925.919999999998</v>
      </c>
      <c r="F14" s="21">
        <v>289663</v>
      </c>
      <c r="G14" s="21">
        <f t="shared" si="0"/>
        <v>317588.92</v>
      </c>
      <c r="H14" s="21">
        <v>252188.99</v>
      </c>
      <c r="I14" s="21">
        <v>65399.93</v>
      </c>
      <c r="J14" s="27">
        <f t="shared" si="1"/>
        <v>0.20592635914376359</v>
      </c>
      <c r="K14" s="46">
        <v>0</v>
      </c>
      <c r="L14" s="47">
        <v>0</v>
      </c>
      <c r="M14" s="47">
        <v>157.58000000000001</v>
      </c>
      <c r="N14" s="47">
        <f>122.28+21821.51</f>
        <v>21943.789999999997</v>
      </c>
      <c r="O14" s="32">
        <f t="shared" si="2"/>
        <v>22101.37</v>
      </c>
      <c r="P14" s="35">
        <f t="shared" si="3"/>
        <v>7.6300286885104415E-2</v>
      </c>
    </row>
    <row r="15" spans="1:16">
      <c r="A15" s="20" t="s">
        <v>500</v>
      </c>
      <c r="B15" s="29">
        <v>0.43359999999999999</v>
      </c>
      <c r="C15" s="29">
        <v>7.9600000000000004E-2</v>
      </c>
      <c r="D15" s="29">
        <v>0.31</v>
      </c>
      <c r="E15" s="21">
        <v>44435.95</v>
      </c>
      <c r="F15" s="21">
        <v>686882</v>
      </c>
      <c r="G15" s="21">
        <f t="shared" si="0"/>
        <v>731317.95</v>
      </c>
      <c r="H15" s="21">
        <v>539807.5</v>
      </c>
      <c r="I15" s="21">
        <v>58510.45</v>
      </c>
      <c r="J15" s="27">
        <f t="shared" si="1"/>
        <v>8.0006856115045447E-2</v>
      </c>
      <c r="K15" s="46">
        <v>133000</v>
      </c>
      <c r="L15" s="47">
        <v>0</v>
      </c>
      <c r="M15" s="47">
        <v>0</v>
      </c>
      <c r="N15" s="47">
        <v>33970.769999999997</v>
      </c>
      <c r="O15" s="32">
        <f t="shared" si="2"/>
        <v>33970.769999999997</v>
      </c>
      <c r="P15" s="33">
        <f t="shared" si="3"/>
        <v>4.9456485975757115E-2</v>
      </c>
    </row>
    <row r="16" spans="1:16">
      <c r="A16" s="20" t="s">
        <v>427</v>
      </c>
      <c r="B16" s="29">
        <v>0.35909999999999997</v>
      </c>
      <c r="C16" s="29">
        <v>0.16089999999999999</v>
      </c>
      <c r="D16" s="29">
        <v>0.34</v>
      </c>
      <c r="E16" s="21">
        <v>20986.95</v>
      </c>
      <c r="F16" s="21">
        <v>764336</v>
      </c>
      <c r="G16" s="21">
        <f t="shared" si="0"/>
        <v>785322.95</v>
      </c>
      <c r="H16" s="21">
        <v>556290.98</v>
      </c>
      <c r="I16" s="21">
        <v>42701.41</v>
      </c>
      <c r="J16" s="27">
        <f t="shared" si="1"/>
        <v>5.4374330967915815E-2</v>
      </c>
      <c r="K16" s="46">
        <v>186330.56</v>
      </c>
      <c r="L16" s="47">
        <v>3900</v>
      </c>
      <c r="M16" s="47">
        <v>0</v>
      </c>
      <c r="N16" s="47">
        <v>0</v>
      </c>
      <c r="O16" s="32">
        <f t="shared" si="2"/>
        <v>3900</v>
      </c>
      <c r="P16" s="35">
        <f t="shared" si="3"/>
        <v>5.1024680245337125E-3</v>
      </c>
    </row>
    <row r="17" spans="1:16">
      <c r="A17" s="20" t="s">
        <v>20</v>
      </c>
      <c r="B17" s="29">
        <v>0.2601</v>
      </c>
      <c r="C17" s="29">
        <v>0.2266</v>
      </c>
      <c r="D17" s="29">
        <v>0.17</v>
      </c>
      <c r="E17" s="21">
        <v>88271.34</v>
      </c>
      <c r="F17" s="21">
        <v>1646885</v>
      </c>
      <c r="G17" s="21">
        <f t="shared" si="0"/>
        <v>1735156.34</v>
      </c>
      <c r="H17" s="21">
        <v>1575311.51</v>
      </c>
      <c r="I17" s="21">
        <v>159844.82999999999</v>
      </c>
      <c r="J17" s="27">
        <f t="shared" si="1"/>
        <v>9.2121284010638474E-2</v>
      </c>
      <c r="K17" s="46">
        <v>0</v>
      </c>
      <c r="L17" s="47">
        <v>0</v>
      </c>
      <c r="M17" s="47">
        <v>0</v>
      </c>
      <c r="N17" s="47">
        <v>0</v>
      </c>
      <c r="O17" s="32">
        <f t="shared" si="2"/>
        <v>0</v>
      </c>
      <c r="P17" s="33">
        <f t="shared" si="3"/>
        <v>0</v>
      </c>
    </row>
    <row r="18" spans="1:16">
      <c r="A18" s="20" t="s">
        <v>40</v>
      </c>
      <c r="B18" s="29">
        <v>0.45929999999999999</v>
      </c>
      <c r="C18" s="29">
        <v>5.1499999999999997E-2</v>
      </c>
      <c r="D18" s="29">
        <v>0.15</v>
      </c>
      <c r="E18" s="21">
        <v>14074.9</v>
      </c>
      <c r="F18" s="21">
        <v>204352</v>
      </c>
      <c r="G18" s="21">
        <f t="shared" si="0"/>
        <v>218426.9</v>
      </c>
      <c r="H18" s="21">
        <v>217012.02</v>
      </c>
      <c r="I18" s="21">
        <v>214.88</v>
      </c>
      <c r="J18" s="27">
        <f t="shared" si="1"/>
        <v>9.8376161544205397E-4</v>
      </c>
      <c r="K18" s="46">
        <v>1200</v>
      </c>
      <c r="L18" s="47">
        <v>0</v>
      </c>
      <c r="M18" s="47">
        <v>14348.55</v>
      </c>
      <c r="N18" s="47">
        <v>0</v>
      </c>
      <c r="O18" s="32">
        <f t="shared" si="2"/>
        <v>14348.55</v>
      </c>
      <c r="P18" s="35">
        <f t="shared" si="3"/>
        <v>7.0214874334481675E-2</v>
      </c>
    </row>
    <row r="19" spans="1:16">
      <c r="A19" s="20" t="s">
        <v>56</v>
      </c>
      <c r="B19" s="29">
        <v>0.5423</v>
      </c>
      <c r="C19" s="29">
        <v>0.22589999999999999</v>
      </c>
      <c r="D19" s="29">
        <v>0.21</v>
      </c>
      <c r="E19" s="21">
        <v>417926.71</v>
      </c>
      <c r="F19" s="21">
        <v>460784</v>
      </c>
      <c r="G19" s="21">
        <f t="shared" si="0"/>
        <v>878710.71</v>
      </c>
      <c r="H19" s="21">
        <v>723122.7</v>
      </c>
      <c r="I19" s="21">
        <v>155588.01</v>
      </c>
      <c r="J19" s="27">
        <f t="shared" si="1"/>
        <v>0.17706397364839221</v>
      </c>
      <c r="K19" s="46">
        <v>0</v>
      </c>
      <c r="L19" s="47">
        <v>0</v>
      </c>
      <c r="M19" s="47">
        <v>27626.63</v>
      </c>
      <c r="N19" s="47">
        <v>0</v>
      </c>
      <c r="O19" s="32">
        <f t="shared" si="2"/>
        <v>27626.63</v>
      </c>
      <c r="P19" s="35">
        <f t="shared" si="3"/>
        <v>5.9955705927289146E-2</v>
      </c>
    </row>
    <row r="20" spans="1:16">
      <c r="A20" s="20" t="s">
        <v>199</v>
      </c>
      <c r="B20" s="29">
        <v>0.57789999999999997</v>
      </c>
      <c r="C20" s="29">
        <v>0.10780000000000001</v>
      </c>
      <c r="D20" s="29">
        <v>0.24</v>
      </c>
      <c r="E20" s="21">
        <v>23169.86</v>
      </c>
      <c r="F20" s="21">
        <v>284704</v>
      </c>
      <c r="G20" s="21">
        <f t="shared" si="0"/>
        <v>307873.86</v>
      </c>
      <c r="H20" s="21">
        <v>307873.86</v>
      </c>
      <c r="I20" s="21">
        <v>0</v>
      </c>
      <c r="J20" s="27">
        <f t="shared" si="1"/>
        <v>0</v>
      </c>
      <c r="K20" s="46">
        <v>0</v>
      </c>
      <c r="L20" s="47">
        <v>0</v>
      </c>
      <c r="M20" s="47">
        <v>38326.99</v>
      </c>
      <c r="N20" s="47">
        <v>0</v>
      </c>
      <c r="O20" s="32">
        <f t="shared" si="2"/>
        <v>38326.99</v>
      </c>
      <c r="P20" s="35">
        <f t="shared" si="3"/>
        <v>0.13462048302798696</v>
      </c>
    </row>
    <row r="21" spans="1:16">
      <c r="A21" s="20" t="s">
        <v>193</v>
      </c>
      <c r="B21" s="29">
        <v>0.73709999999999998</v>
      </c>
      <c r="C21" s="29">
        <v>0.28999999999999998</v>
      </c>
      <c r="D21" s="29">
        <v>0.47</v>
      </c>
      <c r="E21" s="21">
        <v>462.08</v>
      </c>
      <c r="F21" s="21">
        <v>410023</v>
      </c>
      <c r="G21" s="21">
        <f t="shared" si="0"/>
        <v>410485.08</v>
      </c>
      <c r="H21" s="21">
        <v>390806.01</v>
      </c>
      <c r="I21" s="21">
        <v>19679.07</v>
      </c>
      <c r="J21" s="27">
        <f t="shared" si="1"/>
        <v>4.794101164407729E-2</v>
      </c>
      <c r="K21" s="46">
        <v>0</v>
      </c>
      <c r="L21" s="47">
        <v>1182.53</v>
      </c>
      <c r="M21" s="47">
        <v>0</v>
      </c>
      <c r="N21" s="47">
        <v>0</v>
      </c>
      <c r="O21" s="32">
        <f t="shared" si="2"/>
        <v>1182.53</v>
      </c>
      <c r="P21" s="33">
        <f t="shared" si="3"/>
        <v>2.8840577235911156E-3</v>
      </c>
    </row>
    <row r="22" spans="1:16">
      <c r="A22" s="20" t="s">
        <v>303</v>
      </c>
      <c r="B22" s="29">
        <v>1</v>
      </c>
      <c r="C22" s="29">
        <v>0.81540000000000001</v>
      </c>
      <c r="D22" s="29">
        <v>0.5</v>
      </c>
      <c r="E22" s="21">
        <v>767869.15</v>
      </c>
      <c r="F22" s="21">
        <v>2500832</v>
      </c>
      <c r="G22" s="21">
        <f t="shared" si="0"/>
        <v>3268701.15</v>
      </c>
      <c r="H22" s="21">
        <v>2787567.15</v>
      </c>
      <c r="I22" s="21">
        <v>481134</v>
      </c>
      <c r="J22" s="27">
        <f t="shared" si="1"/>
        <v>0.14719424564096353</v>
      </c>
      <c r="K22" s="46">
        <v>0</v>
      </c>
      <c r="L22" s="47">
        <v>0</v>
      </c>
      <c r="M22" s="47">
        <v>0</v>
      </c>
      <c r="N22" s="47">
        <v>0</v>
      </c>
      <c r="O22" s="32">
        <f t="shared" si="2"/>
        <v>0</v>
      </c>
      <c r="P22" s="33">
        <f t="shared" si="3"/>
        <v>0</v>
      </c>
    </row>
    <row r="23" spans="1:16">
      <c r="A23" s="20" t="s">
        <v>273</v>
      </c>
      <c r="B23" s="29">
        <v>0.55569999999999997</v>
      </c>
      <c r="C23" s="29">
        <v>6.2199999999999998E-2</v>
      </c>
      <c r="D23" s="29">
        <v>0.4</v>
      </c>
      <c r="E23" s="21">
        <v>257254.25</v>
      </c>
      <c r="F23" s="21">
        <v>420112</v>
      </c>
      <c r="G23" s="21">
        <f t="shared" si="0"/>
        <v>677366.25</v>
      </c>
      <c r="H23" s="21">
        <v>547990.11</v>
      </c>
      <c r="I23" s="21">
        <v>129376.14</v>
      </c>
      <c r="J23" s="27">
        <f t="shared" si="1"/>
        <v>0.1909987986558232</v>
      </c>
      <c r="K23" s="46">
        <v>0</v>
      </c>
      <c r="L23" s="47">
        <v>0</v>
      </c>
      <c r="M23" s="47">
        <v>27708.2</v>
      </c>
      <c r="N23" s="47">
        <v>31710.67</v>
      </c>
      <c r="O23" s="32">
        <f t="shared" si="2"/>
        <v>59418.869999999995</v>
      </c>
      <c r="P23" s="35">
        <f t="shared" si="3"/>
        <v>0.14143578379098906</v>
      </c>
    </row>
    <row r="24" spans="1:16">
      <c r="A24" s="20" t="s">
        <v>502</v>
      </c>
      <c r="B24" s="29">
        <v>0.64329999999999998</v>
      </c>
      <c r="C24" s="29">
        <v>2.2599999999999999E-2</v>
      </c>
      <c r="D24" s="29">
        <v>0.18</v>
      </c>
      <c r="E24" s="21">
        <v>10598.29</v>
      </c>
      <c r="F24" s="21">
        <v>166160</v>
      </c>
      <c r="G24" s="21">
        <f t="shared" si="0"/>
        <v>176758.29</v>
      </c>
      <c r="H24" s="21">
        <v>165133.49</v>
      </c>
      <c r="I24" s="21">
        <v>11624.8</v>
      </c>
      <c r="J24" s="27">
        <f t="shared" si="1"/>
        <v>6.5766646644974891E-2</v>
      </c>
      <c r="K24" s="46">
        <v>0</v>
      </c>
      <c r="L24" s="47">
        <v>32078.65</v>
      </c>
      <c r="M24" s="47">
        <v>0</v>
      </c>
      <c r="N24" s="47">
        <v>8648.66</v>
      </c>
      <c r="O24" s="32">
        <f t="shared" si="2"/>
        <v>40727.31</v>
      </c>
      <c r="P24" s="35">
        <f t="shared" si="3"/>
        <v>0.2451089913336543</v>
      </c>
    </row>
    <row r="25" spans="1:16">
      <c r="A25" s="20" t="s">
        <v>251</v>
      </c>
      <c r="B25" s="29">
        <v>0.73829999999999996</v>
      </c>
      <c r="C25" s="29">
        <v>0.4234</v>
      </c>
      <c r="D25" s="29">
        <v>0.16</v>
      </c>
      <c r="E25" s="21">
        <v>104315.86</v>
      </c>
      <c r="F25" s="21">
        <v>274784</v>
      </c>
      <c r="G25" s="21">
        <f t="shared" si="0"/>
        <v>379099.86</v>
      </c>
      <c r="H25" s="21">
        <v>277708.21000000002</v>
      </c>
      <c r="I25" s="21">
        <v>101391.65</v>
      </c>
      <c r="J25" s="27">
        <f t="shared" si="1"/>
        <v>0.2674536730243055</v>
      </c>
      <c r="K25" s="46">
        <v>0</v>
      </c>
      <c r="L25" s="47">
        <v>0</v>
      </c>
      <c r="M25" s="47">
        <v>0</v>
      </c>
      <c r="N25" s="47">
        <f>7135.66+16650.75</f>
        <v>23786.41</v>
      </c>
      <c r="O25" s="32">
        <f t="shared" si="2"/>
        <v>23786.41</v>
      </c>
      <c r="P25" s="35">
        <f t="shared" si="3"/>
        <v>8.6564028473273547E-2</v>
      </c>
    </row>
    <row r="26" spans="1:16">
      <c r="A26" s="20" t="s">
        <v>315</v>
      </c>
      <c r="B26" s="29">
        <v>1</v>
      </c>
      <c r="C26" s="29">
        <v>0.63019999999999998</v>
      </c>
      <c r="D26" s="29">
        <v>0.28000000000000003</v>
      </c>
      <c r="E26" s="21">
        <v>38918.01</v>
      </c>
      <c r="F26" s="21">
        <v>614048</v>
      </c>
      <c r="G26" s="21">
        <f t="shared" si="0"/>
        <v>652966.01</v>
      </c>
      <c r="H26" s="21">
        <v>420530.16</v>
      </c>
      <c r="I26" s="21">
        <v>219184.84</v>
      </c>
      <c r="J26" s="27">
        <f t="shared" si="1"/>
        <v>0.33567572682688335</v>
      </c>
      <c r="K26" s="46">
        <v>60051.01</v>
      </c>
      <c r="L26" s="47">
        <v>0</v>
      </c>
      <c r="M26" s="47">
        <v>-588.30999999999995</v>
      </c>
      <c r="N26" s="47">
        <v>0</v>
      </c>
      <c r="O26" s="32">
        <f t="shared" si="2"/>
        <v>-588.30999999999995</v>
      </c>
      <c r="P26" s="33">
        <f t="shared" si="3"/>
        <v>-9.5808470999009839E-4</v>
      </c>
    </row>
    <row r="27" spans="1:16">
      <c r="A27" s="20" t="s">
        <v>102</v>
      </c>
      <c r="B27" s="29">
        <v>0.34470000000000001</v>
      </c>
      <c r="C27" s="29">
        <v>5.67E-2</v>
      </c>
      <c r="D27" s="29">
        <v>0.17</v>
      </c>
      <c r="E27" s="21">
        <v>41428.25</v>
      </c>
      <c r="F27" s="21">
        <v>286420</v>
      </c>
      <c r="G27" s="21">
        <f t="shared" si="0"/>
        <v>327848.25</v>
      </c>
      <c r="H27" s="21">
        <v>269102.86</v>
      </c>
      <c r="I27" s="21">
        <v>57745.39</v>
      </c>
      <c r="J27" s="27">
        <f t="shared" si="1"/>
        <v>0.17613450735210573</v>
      </c>
      <c r="K27" s="46">
        <v>0</v>
      </c>
      <c r="L27" s="47">
        <f>21763.45+59767.74</f>
        <v>81531.19</v>
      </c>
      <c r="M27" s="47">
        <v>33448.089999999997</v>
      </c>
      <c r="N27" s="47">
        <v>0</v>
      </c>
      <c r="O27" s="32">
        <f t="shared" si="2"/>
        <v>114979.28</v>
      </c>
      <c r="P27" s="35">
        <f t="shared" si="3"/>
        <v>0.40143593324488513</v>
      </c>
    </row>
    <row r="28" spans="1:16">
      <c r="A28" s="20" t="s">
        <v>429</v>
      </c>
      <c r="B28" s="29">
        <v>0.29480000000000001</v>
      </c>
      <c r="C28" s="29">
        <v>0.156</v>
      </c>
      <c r="D28" s="29">
        <v>0.14000000000000001</v>
      </c>
      <c r="E28" s="21">
        <v>82933.84</v>
      </c>
      <c r="F28" s="21">
        <v>962240</v>
      </c>
      <c r="G28" s="21">
        <f t="shared" si="0"/>
        <v>1045173.84</v>
      </c>
      <c r="H28" s="21">
        <v>852049.02</v>
      </c>
      <c r="I28" s="21">
        <v>43624.82</v>
      </c>
      <c r="J28" s="27">
        <f t="shared" si="1"/>
        <v>4.1739295732851484E-2</v>
      </c>
      <c r="K28" s="46">
        <v>149500</v>
      </c>
      <c r="L28" s="47">
        <v>0</v>
      </c>
      <c r="M28" s="47">
        <v>35750.26</v>
      </c>
      <c r="N28" s="47">
        <f>34960.42+43521.58</f>
        <v>78482</v>
      </c>
      <c r="O28" s="32">
        <f t="shared" si="2"/>
        <v>114232.26000000001</v>
      </c>
      <c r="P28" s="35">
        <f t="shared" si="3"/>
        <v>0.11871493598270702</v>
      </c>
    </row>
    <row r="29" spans="1:16">
      <c r="A29" s="20" t="s">
        <v>104</v>
      </c>
      <c r="B29" s="29">
        <v>0.62</v>
      </c>
      <c r="C29" s="29">
        <v>0.1988</v>
      </c>
      <c r="D29" s="29">
        <v>0.16</v>
      </c>
      <c r="E29" s="21">
        <v>52797.15</v>
      </c>
      <c r="F29" s="21">
        <v>237584</v>
      </c>
      <c r="G29" s="21">
        <f t="shared" si="0"/>
        <v>290381.15000000002</v>
      </c>
      <c r="H29" s="21">
        <v>256123.09</v>
      </c>
      <c r="I29" s="21">
        <v>66182.06</v>
      </c>
      <c r="J29" s="27">
        <f t="shared" si="1"/>
        <v>0.22791444968104849</v>
      </c>
      <c r="K29" s="46">
        <v>0</v>
      </c>
      <c r="L29" s="47">
        <v>12303.96</v>
      </c>
      <c r="M29" s="47">
        <v>0</v>
      </c>
      <c r="N29" s="47">
        <v>37332.050000000003</v>
      </c>
      <c r="O29" s="32">
        <f t="shared" si="2"/>
        <v>49636.01</v>
      </c>
      <c r="P29" s="35">
        <f t="shared" si="3"/>
        <v>0.2089198346690013</v>
      </c>
    </row>
    <row r="30" spans="1:16">
      <c r="A30" s="20" t="s">
        <v>287</v>
      </c>
      <c r="B30" s="29">
        <v>0.31990000000000002</v>
      </c>
      <c r="C30" s="29">
        <v>7.5399999999999995E-2</v>
      </c>
      <c r="D30" s="29">
        <v>0.21</v>
      </c>
      <c r="E30" s="21">
        <v>46932.3</v>
      </c>
      <c r="F30" s="21">
        <v>1603819</v>
      </c>
      <c r="G30" s="21">
        <f t="shared" si="0"/>
        <v>1650751.3</v>
      </c>
      <c r="H30" s="21">
        <v>1620574.25</v>
      </c>
      <c r="I30" s="21">
        <v>30409.55</v>
      </c>
      <c r="J30" s="27">
        <f t="shared" si="1"/>
        <v>1.8421642315229435E-2</v>
      </c>
      <c r="K30" s="46">
        <v>0</v>
      </c>
      <c r="L30" s="47">
        <v>0</v>
      </c>
      <c r="M30" s="47">
        <v>414810.53</v>
      </c>
      <c r="N30" s="47">
        <f>52490.17+147721.21</f>
        <v>200211.38</v>
      </c>
      <c r="O30" s="32">
        <f t="shared" si="2"/>
        <v>615021.91</v>
      </c>
      <c r="P30" s="35">
        <f t="shared" si="3"/>
        <v>0.38347339070057157</v>
      </c>
    </row>
    <row r="31" spans="1:16">
      <c r="A31" s="20" t="s">
        <v>319</v>
      </c>
      <c r="B31" s="29">
        <v>0.74819999999999998</v>
      </c>
      <c r="C31" s="29">
        <v>0.15970000000000001</v>
      </c>
      <c r="D31" s="29">
        <v>0.11</v>
      </c>
      <c r="E31" s="21">
        <v>36715.42</v>
      </c>
      <c r="F31" s="21">
        <v>382912</v>
      </c>
      <c r="G31" s="21">
        <f t="shared" si="0"/>
        <v>419627.42</v>
      </c>
      <c r="H31" s="21">
        <v>370701.15</v>
      </c>
      <c r="I31" s="21">
        <v>25926.27</v>
      </c>
      <c r="J31" s="27">
        <f t="shared" si="1"/>
        <v>6.1784022597951301E-2</v>
      </c>
      <c r="K31" s="46">
        <v>23000</v>
      </c>
      <c r="L31" s="47">
        <v>0</v>
      </c>
      <c r="M31" s="47">
        <v>5614.39</v>
      </c>
      <c r="N31" s="47">
        <v>0</v>
      </c>
      <c r="O31" s="32">
        <f t="shared" si="2"/>
        <v>5614.39</v>
      </c>
      <c r="P31" s="33">
        <f t="shared" si="3"/>
        <v>1.4662350618418854E-2</v>
      </c>
    </row>
    <row r="32" spans="1:16">
      <c r="A32" s="20" t="s">
        <v>225</v>
      </c>
      <c r="B32" s="29">
        <v>0.55349999999999999</v>
      </c>
      <c r="C32" s="29">
        <v>1.7100000000000001E-2</v>
      </c>
      <c r="D32" s="29">
        <v>0.09</v>
      </c>
      <c r="E32" s="21">
        <v>0</v>
      </c>
      <c r="F32" s="21">
        <v>121024</v>
      </c>
      <c r="G32" s="21">
        <f t="shared" si="0"/>
        <v>121024</v>
      </c>
      <c r="H32" s="21">
        <v>81135.81</v>
      </c>
      <c r="I32" s="21">
        <v>0</v>
      </c>
      <c r="J32" s="27">
        <f t="shared" si="1"/>
        <v>0</v>
      </c>
      <c r="K32" s="46">
        <v>0</v>
      </c>
      <c r="L32" s="47">
        <v>41898.300000000003</v>
      </c>
      <c r="M32" s="47">
        <v>464.81</v>
      </c>
      <c r="N32" s="47">
        <v>0</v>
      </c>
      <c r="O32" s="32">
        <f t="shared" si="2"/>
        <v>42363.11</v>
      </c>
      <c r="P32" s="35">
        <f t="shared" si="3"/>
        <v>0.35003891790058173</v>
      </c>
    </row>
    <row r="33" spans="1:16">
      <c r="A33" s="20" t="s">
        <v>333</v>
      </c>
      <c r="B33" s="29">
        <v>0.73870000000000002</v>
      </c>
      <c r="C33" s="29">
        <v>0.65700000000000003</v>
      </c>
      <c r="D33" s="29">
        <v>0.37</v>
      </c>
      <c r="E33" s="21">
        <v>73668.13</v>
      </c>
      <c r="F33" s="21">
        <v>1854048</v>
      </c>
      <c r="G33" s="21">
        <f t="shared" si="0"/>
        <v>1927716.13</v>
      </c>
      <c r="H33" s="21">
        <v>1678984.83</v>
      </c>
      <c r="I33" s="21">
        <v>80154.3</v>
      </c>
      <c r="J33" s="27">
        <f t="shared" si="1"/>
        <v>4.1579929094643205E-2</v>
      </c>
      <c r="K33" s="46">
        <v>168577</v>
      </c>
      <c r="L33" s="47">
        <v>0</v>
      </c>
      <c r="M33" s="47">
        <v>0</v>
      </c>
      <c r="N33" s="47">
        <f>93123.33+124507.61</f>
        <v>217630.94</v>
      </c>
      <c r="O33" s="32">
        <f t="shared" si="2"/>
        <v>217630.94</v>
      </c>
      <c r="P33" s="35">
        <f t="shared" si="3"/>
        <v>0.11738150252852138</v>
      </c>
    </row>
    <row r="34" spans="1:16">
      <c r="A34" s="20" t="s">
        <v>285</v>
      </c>
      <c r="B34" s="29">
        <v>0.50670000000000004</v>
      </c>
      <c r="C34" s="29">
        <v>0.14899999999999999</v>
      </c>
      <c r="D34" s="29">
        <v>0.3</v>
      </c>
      <c r="E34" s="21">
        <v>70948.600000000006</v>
      </c>
      <c r="F34" s="21">
        <v>185504</v>
      </c>
      <c r="G34" s="21">
        <f t="shared" si="0"/>
        <v>256452.6</v>
      </c>
      <c r="H34" s="21">
        <v>229032.97</v>
      </c>
      <c r="I34" s="21">
        <v>27419.63</v>
      </c>
      <c r="J34" s="27">
        <f t="shared" si="1"/>
        <v>0.10691890041278583</v>
      </c>
      <c r="K34" s="46">
        <v>0</v>
      </c>
      <c r="L34" s="47">
        <v>0</v>
      </c>
      <c r="M34" s="47">
        <v>0</v>
      </c>
      <c r="N34" s="47">
        <v>1094.8699999999999</v>
      </c>
      <c r="O34" s="32">
        <f t="shared" si="2"/>
        <v>1094.8699999999999</v>
      </c>
      <c r="P34" s="35">
        <f t="shared" si="3"/>
        <v>5.9021368811454193E-3</v>
      </c>
    </row>
    <row r="35" spans="1:16">
      <c r="A35" s="20" t="s">
        <v>454</v>
      </c>
      <c r="B35" s="29">
        <v>0.65980000000000005</v>
      </c>
      <c r="C35" s="29">
        <v>3.1199999999999999E-2</v>
      </c>
      <c r="D35" s="29">
        <v>0.24</v>
      </c>
      <c r="E35" s="21">
        <v>35335.22</v>
      </c>
      <c r="F35" s="21">
        <v>383408</v>
      </c>
      <c r="G35" s="21">
        <f t="shared" si="0"/>
        <v>418743.22</v>
      </c>
      <c r="H35" s="21">
        <v>288465.12</v>
      </c>
      <c r="I35" s="21">
        <v>69439.399999999994</v>
      </c>
      <c r="J35" s="27">
        <f t="shared" si="1"/>
        <v>0.1658281177663008</v>
      </c>
      <c r="K35" s="46">
        <v>60838.7</v>
      </c>
      <c r="L35" s="47">
        <v>0</v>
      </c>
      <c r="M35" s="47">
        <v>43508.88</v>
      </c>
      <c r="N35" s="47">
        <v>0</v>
      </c>
      <c r="O35" s="32">
        <f t="shared" si="2"/>
        <v>43508.88</v>
      </c>
      <c r="P35" s="35">
        <f t="shared" si="3"/>
        <v>0.11347932228852814</v>
      </c>
    </row>
    <row r="36" spans="1:16">
      <c r="A36" s="20" t="s">
        <v>223</v>
      </c>
      <c r="B36" s="29">
        <v>0.53500000000000003</v>
      </c>
      <c r="C36" s="29">
        <v>3.1699999999999999E-2</v>
      </c>
      <c r="D36" s="29">
        <v>0.23</v>
      </c>
      <c r="E36" s="21">
        <v>10569.88</v>
      </c>
      <c r="F36" s="21">
        <v>235289</v>
      </c>
      <c r="G36" s="21">
        <f t="shared" si="0"/>
        <v>245858.88</v>
      </c>
      <c r="H36" s="21">
        <v>219159.36</v>
      </c>
      <c r="I36" s="21">
        <v>26699.52</v>
      </c>
      <c r="J36" s="27">
        <f t="shared" si="1"/>
        <v>0.10859693170326001</v>
      </c>
      <c r="K36" s="46">
        <v>0</v>
      </c>
      <c r="L36" s="47">
        <v>3002.48</v>
      </c>
      <c r="M36" s="47">
        <v>0</v>
      </c>
      <c r="N36" s="47">
        <v>0</v>
      </c>
      <c r="O36" s="32">
        <f t="shared" si="2"/>
        <v>3002.48</v>
      </c>
      <c r="P36" s="35">
        <f t="shared" si="3"/>
        <v>1.2760817547781664E-2</v>
      </c>
    </row>
    <row r="37" spans="1:16">
      <c r="A37" s="20" t="s">
        <v>116</v>
      </c>
      <c r="B37" s="29">
        <v>0.70789999999999997</v>
      </c>
      <c r="C37" s="29">
        <v>8.4400000000000003E-2</v>
      </c>
      <c r="D37" s="29">
        <v>0.24</v>
      </c>
      <c r="E37" s="21">
        <v>11262.12</v>
      </c>
      <c r="F37" s="21">
        <v>293632</v>
      </c>
      <c r="G37" s="21">
        <f t="shared" si="0"/>
        <v>304894.12</v>
      </c>
      <c r="H37" s="21">
        <v>228401.5</v>
      </c>
      <c r="I37" s="21">
        <v>6492.62</v>
      </c>
      <c r="J37" s="27">
        <f t="shared" si="1"/>
        <v>2.1294671081226492E-2</v>
      </c>
      <c r="K37" s="46">
        <v>0</v>
      </c>
      <c r="L37" s="47">
        <v>0</v>
      </c>
      <c r="M37" s="47">
        <v>9996.2999999999993</v>
      </c>
      <c r="N37" s="47">
        <v>0</v>
      </c>
      <c r="O37" s="32">
        <f t="shared" si="2"/>
        <v>9996.2999999999993</v>
      </c>
      <c r="P37" s="35">
        <f t="shared" si="3"/>
        <v>3.4043632846556232E-2</v>
      </c>
    </row>
    <row r="38" spans="1:16">
      <c r="A38" s="20" t="s">
        <v>353</v>
      </c>
      <c r="B38" s="29">
        <v>0.61319999999999997</v>
      </c>
      <c r="C38" s="29">
        <v>0.2</v>
      </c>
      <c r="D38" s="29">
        <v>0.37</v>
      </c>
      <c r="E38" s="21">
        <v>78039.23</v>
      </c>
      <c r="F38" s="21">
        <v>317440</v>
      </c>
      <c r="G38" s="21">
        <f t="shared" si="0"/>
        <v>395479.23</v>
      </c>
      <c r="H38" s="21">
        <v>342396.49</v>
      </c>
      <c r="I38" s="21">
        <v>53082.74</v>
      </c>
      <c r="J38" s="27">
        <f t="shared" si="1"/>
        <v>0.13422383774743366</v>
      </c>
      <c r="K38" s="46">
        <v>0</v>
      </c>
      <c r="L38" s="47">
        <v>0</v>
      </c>
      <c r="M38" s="47">
        <v>25665.34</v>
      </c>
      <c r="N38" s="47">
        <v>15605.76</v>
      </c>
      <c r="O38" s="32">
        <f t="shared" si="2"/>
        <v>41271.1</v>
      </c>
      <c r="P38" s="35">
        <f t="shared" si="3"/>
        <v>0.13001228578629032</v>
      </c>
    </row>
    <row r="39" spans="1:16">
      <c r="A39" s="20" t="s">
        <v>158</v>
      </c>
      <c r="B39" s="29">
        <v>0.36759999999999998</v>
      </c>
      <c r="C39" s="29">
        <v>5.7700000000000001E-2</v>
      </c>
      <c r="D39" s="29">
        <v>0.2</v>
      </c>
      <c r="E39" s="21">
        <v>3735.81</v>
      </c>
      <c r="F39" s="21">
        <v>149296</v>
      </c>
      <c r="G39" s="21">
        <f t="shared" si="0"/>
        <v>153031.81</v>
      </c>
      <c r="H39" s="21">
        <v>169603.54</v>
      </c>
      <c r="I39" s="21">
        <v>3428.27</v>
      </c>
      <c r="J39" s="27">
        <f t="shared" si="1"/>
        <v>2.2402335828086983E-2</v>
      </c>
      <c r="K39" s="46">
        <v>0</v>
      </c>
      <c r="L39" s="47">
        <v>0</v>
      </c>
      <c r="M39" s="47">
        <v>0</v>
      </c>
      <c r="N39" s="47">
        <v>0</v>
      </c>
      <c r="O39" s="32">
        <f t="shared" si="2"/>
        <v>0</v>
      </c>
      <c r="P39" s="33">
        <f t="shared" si="3"/>
        <v>0</v>
      </c>
    </row>
    <row r="40" spans="1:16">
      <c r="A40" s="20" t="s">
        <v>317</v>
      </c>
      <c r="B40" s="29">
        <v>0.76459999999999995</v>
      </c>
      <c r="C40" s="29">
        <v>0.63963000000000003</v>
      </c>
      <c r="D40" s="29">
        <v>0.39</v>
      </c>
      <c r="E40" s="21">
        <v>90666.82</v>
      </c>
      <c r="F40" s="21">
        <v>468224</v>
      </c>
      <c r="G40" s="21">
        <f t="shared" si="0"/>
        <v>558890.82000000007</v>
      </c>
      <c r="H40" s="21">
        <v>435288.35</v>
      </c>
      <c r="I40" s="21">
        <v>84632.47</v>
      </c>
      <c r="J40" s="27">
        <f t="shared" si="1"/>
        <v>0.15142934357018065</v>
      </c>
      <c r="K40" s="46">
        <v>38970</v>
      </c>
      <c r="L40" s="47">
        <v>24814.6</v>
      </c>
      <c r="M40" s="47">
        <v>0</v>
      </c>
      <c r="N40" s="47">
        <f>2433+39059.78</f>
        <v>41492.78</v>
      </c>
      <c r="O40" s="32">
        <f t="shared" si="2"/>
        <v>66307.38</v>
      </c>
      <c r="P40" s="35">
        <f t="shared" si="3"/>
        <v>0.14161465452433025</v>
      </c>
    </row>
    <row r="41" spans="1:16">
      <c r="A41" s="20" t="s">
        <v>245</v>
      </c>
      <c r="B41" s="29">
        <v>0.6048</v>
      </c>
      <c r="C41" s="29">
        <v>0.33160000000000001</v>
      </c>
      <c r="D41" s="29">
        <v>0.14000000000000001</v>
      </c>
      <c r="E41" s="21">
        <v>39868.54</v>
      </c>
      <c r="F41" s="21">
        <v>790822</v>
      </c>
      <c r="G41" s="21">
        <f t="shared" si="0"/>
        <v>830690.54</v>
      </c>
      <c r="H41" s="21">
        <v>703580.08</v>
      </c>
      <c r="I41" s="21">
        <v>47110.46</v>
      </c>
      <c r="J41" s="27">
        <f t="shared" si="1"/>
        <v>5.6712407005381327E-2</v>
      </c>
      <c r="K41" s="46">
        <v>80000</v>
      </c>
      <c r="L41" s="47">
        <v>0</v>
      </c>
      <c r="M41" s="47">
        <v>0</v>
      </c>
      <c r="N41" s="47">
        <v>0</v>
      </c>
      <c r="O41" s="32">
        <f t="shared" si="2"/>
        <v>0</v>
      </c>
      <c r="P41" s="33">
        <f t="shared" si="3"/>
        <v>0</v>
      </c>
    </row>
    <row r="42" spans="1:16" ht="27">
      <c r="A42" s="20" t="s">
        <v>86</v>
      </c>
      <c r="B42" s="29">
        <v>0.53749999999999998</v>
      </c>
      <c r="C42" s="29">
        <v>0.29399999999999998</v>
      </c>
      <c r="D42" s="29">
        <v>0.24</v>
      </c>
      <c r="E42" s="21">
        <v>1373.85</v>
      </c>
      <c r="F42" s="21">
        <v>249488</v>
      </c>
      <c r="G42" s="21">
        <f t="shared" si="0"/>
        <v>250861.85</v>
      </c>
      <c r="H42" s="21">
        <v>251650.74</v>
      </c>
      <c r="I42" s="21">
        <v>0</v>
      </c>
      <c r="J42" s="27">
        <f t="shared" si="1"/>
        <v>0</v>
      </c>
      <c r="K42" s="46">
        <v>0</v>
      </c>
      <c r="L42" s="47">
        <v>0</v>
      </c>
      <c r="M42" s="47">
        <v>0</v>
      </c>
      <c r="N42" s="47">
        <v>34760</v>
      </c>
      <c r="O42" s="32">
        <f t="shared" si="2"/>
        <v>34760</v>
      </c>
      <c r="P42" s="35">
        <f t="shared" si="3"/>
        <v>0.1393253382928237</v>
      </c>
    </row>
    <row r="43" spans="1:16">
      <c r="A43" s="20" t="s">
        <v>474</v>
      </c>
      <c r="B43" s="29">
        <v>0.62319999999999998</v>
      </c>
      <c r="C43" s="29">
        <v>6.59E-2</v>
      </c>
      <c r="D43" s="29">
        <v>0.24</v>
      </c>
      <c r="E43" s="21">
        <v>77864.31</v>
      </c>
      <c r="F43" s="21">
        <v>388864</v>
      </c>
      <c r="G43" s="21">
        <f t="shared" si="0"/>
        <v>466728.31</v>
      </c>
      <c r="H43" s="21">
        <v>411725.77</v>
      </c>
      <c r="I43" s="21">
        <v>55002.54</v>
      </c>
      <c r="J43" s="27">
        <f t="shared" si="1"/>
        <v>0.11784701896484488</v>
      </c>
      <c r="K43" s="46">
        <v>0</v>
      </c>
      <c r="L43" s="47">
        <v>0</v>
      </c>
      <c r="M43" s="47">
        <v>27268.18</v>
      </c>
      <c r="N43" s="47">
        <v>6082.45</v>
      </c>
      <c r="O43" s="32">
        <f t="shared" si="2"/>
        <v>33350.629999999997</v>
      </c>
      <c r="P43" s="35">
        <f t="shared" si="3"/>
        <v>8.5764251769256089E-2</v>
      </c>
    </row>
    <row r="44" spans="1:16">
      <c r="A44" s="20" t="s">
        <v>76</v>
      </c>
      <c r="B44" s="29">
        <v>0.58289999999999997</v>
      </c>
      <c r="C44" s="29">
        <v>6.7000000000000002E-3</v>
      </c>
      <c r="D44" s="29">
        <v>0.12</v>
      </c>
      <c r="E44" s="21">
        <v>105388.79</v>
      </c>
      <c r="F44" s="21">
        <v>153760</v>
      </c>
      <c r="G44" s="21">
        <f t="shared" si="0"/>
        <v>259148.78999999998</v>
      </c>
      <c r="H44" s="21">
        <v>237324.19</v>
      </c>
      <c r="I44" s="21">
        <v>21824.6</v>
      </c>
      <c r="J44" s="27">
        <f t="shared" si="1"/>
        <v>8.4216484283025209E-2</v>
      </c>
      <c r="K44" s="46">
        <v>0</v>
      </c>
      <c r="L44" s="47">
        <f>13682.46+26648.51</f>
        <v>40330.97</v>
      </c>
      <c r="M44" s="47">
        <v>15643.44</v>
      </c>
      <c r="N44" s="47">
        <v>0</v>
      </c>
      <c r="O44" s="32">
        <f t="shared" si="2"/>
        <v>55974.41</v>
      </c>
      <c r="P44" s="35">
        <f t="shared" si="3"/>
        <v>0.36403752601456818</v>
      </c>
    </row>
    <row r="45" spans="1:16">
      <c r="A45" s="20" t="s">
        <v>146</v>
      </c>
      <c r="B45" s="29">
        <v>0.3977</v>
      </c>
      <c r="C45" s="29">
        <v>0.34570000000000001</v>
      </c>
      <c r="D45" s="29">
        <v>0.19</v>
      </c>
      <c r="E45" s="21">
        <v>60253.98</v>
      </c>
      <c r="F45" s="21">
        <v>1724063</v>
      </c>
      <c r="G45" s="21">
        <f t="shared" si="0"/>
        <v>1784316.98</v>
      </c>
      <c r="H45" s="21">
        <v>1038402.89</v>
      </c>
      <c r="I45" s="21">
        <v>251611.45</v>
      </c>
      <c r="J45" s="27">
        <f t="shared" si="1"/>
        <v>0.14101275323849691</v>
      </c>
      <c r="K45" s="46">
        <v>525491.05000000005</v>
      </c>
      <c r="L45" s="47">
        <f>26495.42+2307.51+0</f>
        <v>28802.93</v>
      </c>
      <c r="M45" s="47">
        <v>0</v>
      </c>
      <c r="N45" s="47">
        <v>1131.25</v>
      </c>
      <c r="O45" s="32">
        <f t="shared" si="2"/>
        <v>29934.18</v>
      </c>
      <c r="P45" s="35">
        <f t="shared" si="3"/>
        <v>1.7362578977682369E-2</v>
      </c>
    </row>
    <row r="46" spans="1:16">
      <c r="A46" s="20" t="s">
        <v>70</v>
      </c>
      <c r="B46" s="29">
        <v>0.66010000000000002</v>
      </c>
      <c r="C46" s="29">
        <v>2.9100000000000001E-2</v>
      </c>
      <c r="D46" s="29">
        <v>0.3</v>
      </c>
      <c r="E46" s="21">
        <v>67444.44</v>
      </c>
      <c r="F46" s="21">
        <v>347696</v>
      </c>
      <c r="G46" s="21">
        <f t="shared" si="0"/>
        <v>415140.44</v>
      </c>
      <c r="H46" s="21">
        <v>239333.27</v>
      </c>
      <c r="I46" s="21">
        <v>106004.57</v>
      </c>
      <c r="J46" s="27">
        <f t="shared" si="1"/>
        <v>0.25534628715044</v>
      </c>
      <c r="K46" s="46">
        <v>69802.600000000006</v>
      </c>
      <c r="L46" s="47">
        <v>0</v>
      </c>
      <c r="M46" s="47">
        <v>50498.75</v>
      </c>
      <c r="N46" s="47">
        <v>0</v>
      </c>
      <c r="O46" s="32">
        <f t="shared" si="2"/>
        <v>50498.75</v>
      </c>
      <c r="P46" s="35">
        <f t="shared" si="3"/>
        <v>0.1452382253462795</v>
      </c>
    </row>
    <row r="47" spans="1:16">
      <c r="A47" s="20" t="s">
        <v>14</v>
      </c>
      <c r="B47" s="29">
        <v>0.66469999999999996</v>
      </c>
      <c r="C47" s="29">
        <v>4.3299999999999998E-2</v>
      </c>
      <c r="D47" s="29">
        <v>0.15</v>
      </c>
      <c r="E47" s="21">
        <v>47161.66</v>
      </c>
      <c r="F47" s="21">
        <v>189968</v>
      </c>
      <c r="G47" s="21">
        <f t="shared" si="0"/>
        <v>237129.66</v>
      </c>
      <c r="H47" s="21">
        <v>201812.16</v>
      </c>
      <c r="I47" s="21">
        <v>35317.5</v>
      </c>
      <c r="J47" s="27">
        <f t="shared" si="1"/>
        <v>0.14893750532936284</v>
      </c>
      <c r="K47" s="46">
        <v>0</v>
      </c>
      <c r="L47" s="47">
        <v>0</v>
      </c>
      <c r="M47" s="47">
        <v>0</v>
      </c>
      <c r="N47" s="47">
        <f>5768.2+7555.1</f>
        <v>13323.3</v>
      </c>
      <c r="O47" s="32">
        <f t="shared" si="2"/>
        <v>13323.3</v>
      </c>
      <c r="P47" s="35">
        <f t="shared" si="3"/>
        <v>7.0134443695780341E-2</v>
      </c>
    </row>
    <row r="48" spans="1:16">
      <c r="A48" s="20" t="s">
        <v>160</v>
      </c>
      <c r="B48" s="29">
        <v>0.51249999999999996</v>
      </c>
      <c r="C48" s="29">
        <v>7.1599999999999997E-2</v>
      </c>
      <c r="D48" s="29">
        <v>0.22</v>
      </c>
      <c r="E48" s="21">
        <v>8652.1299999999992</v>
      </c>
      <c r="F48" s="21">
        <v>105152</v>
      </c>
      <c r="G48" s="21">
        <f t="shared" si="0"/>
        <v>113804.13</v>
      </c>
      <c r="H48" s="21">
        <v>109444.33</v>
      </c>
      <c r="I48" s="21">
        <v>4359.8</v>
      </c>
      <c r="J48" s="27">
        <f t="shared" si="1"/>
        <v>3.8309681731234183E-2</v>
      </c>
      <c r="K48" s="46">
        <v>0</v>
      </c>
      <c r="L48" s="47">
        <v>0</v>
      </c>
      <c r="M48" s="47">
        <v>0</v>
      </c>
      <c r="N48" s="47">
        <v>0</v>
      </c>
      <c r="O48" s="32">
        <f t="shared" si="2"/>
        <v>0</v>
      </c>
      <c r="P48" s="33">
        <f t="shared" si="3"/>
        <v>0</v>
      </c>
    </row>
    <row r="49" spans="1:16" ht="27">
      <c r="A49" s="20" t="s">
        <v>405</v>
      </c>
      <c r="B49" s="29">
        <v>0.79339999999999999</v>
      </c>
      <c r="C49" s="29">
        <v>0.98960000000000004</v>
      </c>
      <c r="D49" s="29" t="s">
        <v>536</v>
      </c>
      <c r="E49" s="21">
        <v>0</v>
      </c>
      <c r="F49" s="21">
        <v>95232</v>
      </c>
      <c r="G49" s="21">
        <v>95232</v>
      </c>
      <c r="H49" s="21">
        <v>0</v>
      </c>
      <c r="I49" s="21">
        <v>95232</v>
      </c>
      <c r="J49" s="27">
        <f t="shared" si="1"/>
        <v>1</v>
      </c>
      <c r="K49" s="46">
        <v>0</v>
      </c>
      <c r="L49" s="47">
        <v>0</v>
      </c>
      <c r="M49" s="47">
        <v>0</v>
      </c>
      <c r="N49" s="47">
        <v>0</v>
      </c>
      <c r="O49" s="32">
        <f t="shared" si="2"/>
        <v>0</v>
      </c>
      <c r="P49" s="33">
        <f t="shared" si="3"/>
        <v>0</v>
      </c>
    </row>
    <row r="50" spans="1:16" ht="27">
      <c r="A50" s="20" t="s">
        <v>132</v>
      </c>
      <c r="B50" s="29">
        <v>1</v>
      </c>
      <c r="C50" s="29">
        <v>0.1376</v>
      </c>
      <c r="D50" s="29">
        <v>0.42</v>
      </c>
      <c r="E50" s="21">
        <v>30621.34</v>
      </c>
      <c r="F50" s="21">
        <v>362077</v>
      </c>
      <c r="G50" s="21">
        <f t="shared" ref="G50:G81" si="4">E50+F50</f>
        <v>392698.34</v>
      </c>
      <c r="H50" s="21">
        <v>380785.07</v>
      </c>
      <c r="I50" s="21">
        <v>25077.27</v>
      </c>
      <c r="J50" s="27">
        <f t="shared" si="1"/>
        <v>6.3858864287534289E-2</v>
      </c>
      <c r="K50" s="46">
        <v>0</v>
      </c>
      <c r="L50" s="47">
        <v>0</v>
      </c>
      <c r="M50" s="47">
        <v>0</v>
      </c>
      <c r="N50" s="47">
        <v>0</v>
      </c>
      <c r="O50" s="32">
        <f t="shared" si="2"/>
        <v>0</v>
      </c>
      <c r="P50" s="33">
        <f t="shared" si="3"/>
        <v>0</v>
      </c>
    </row>
    <row r="51" spans="1:16">
      <c r="A51" s="20" t="s">
        <v>10</v>
      </c>
      <c r="B51" s="29">
        <v>0.52759999999999996</v>
      </c>
      <c r="C51" s="29">
        <v>0.41120000000000001</v>
      </c>
      <c r="D51" s="29">
        <v>0.27</v>
      </c>
      <c r="E51" s="21">
        <v>50184.12</v>
      </c>
      <c r="F51" s="21">
        <v>556512</v>
      </c>
      <c r="G51" s="21">
        <f t="shared" si="4"/>
        <v>606696.12</v>
      </c>
      <c r="H51" s="21">
        <v>446134.89</v>
      </c>
      <c r="I51" s="21">
        <v>160561.23000000001</v>
      </c>
      <c r="J51" s="27">
        <f t="shared" si="1"/>
        <v>0.26464851959165325</v>
      </c>
      <c r="K51" s="46">
        <v>0</v>
      </c>
      <c r="L51" s="47">
        <v>0</v>
      </c>
      <c r="M51" s="47">
        <v>0</v>
      </c>
      <c r="N51" s="47">
        <v>0</v>
      </c>
      <c r="O51" s="32">
        <f t="shared" si="2"/>
        <v>0</v>
      </c>
      <c r="P51" s="33">
        <f t="shared" si="3"/>
        <v>0</v>
      </c>
    </row>
    <row r="52" spans="1:16">
      <c r="A52" s="20" t="s">
        <v>217</v>
      </c>
      <c r="B52" s="29">
        <v>0.64580000000000004</v>
      </c>
      <c r="C52" s="29" t="s">
        <v>536</v>
      </c>
      <c r="D52" s="29" t="s">
        <v>536</v>
      </c>
      <c r="E52" s="21">
        <v>1053.48</v>
      </c>
      <c r="F52" s="21">
        <v>105648</v>
      </c>
      <c r="G52" s="21">
        <f t="shared" si="4"/>
        <v>106701.48</v>
      </c>
      <c r="H52" s="21">
        <v>92708.2</v>
      </c>
      <c r="I52" s="21">
        <v>866.63</v>
      </c>
      <c r="J52" s="27">
        <f t="shared" si="1"/>
        <v>8.1220054304776274E-3</v>
      </c>
      <c r="K52" s="46">
        <v>13126.65</v>
      </c>
      <c r="L52" s="47">
        <v>0</v>
      </c>
      <c r="M52" s="47">
        <v>0</v>
      </c>
      <c r="N52" s="47">
        <v>4951.79</v>
      </c>
      <c r="O52" s="32">
        <f t="shared" si="2"/>
        <v>4951.79</v>
      </c>
      <c r="P52" s="35">
        <f t="shared" si="3"/>
        <v>4.6870645918521886E-2</v>
      </c>
    </row>
    <row r="53" spans="1:16" ht="27">
      <c r="A53" s="20" t="s">
        <v>170</v>
      </c>
      <c r="B53" s="29">
        <v>0.57310000000000005</v>
      </c>
      <c r="C53" s="29">
        <v>0.13250000000000001</v>
      </c>
      <c r="D53" s="29">
        <v>0.21</v>
      </c>
      <c r="E53" s="21">
        <v>12089.32</v>
      </c>
      <c r="F53" s="21">
        <v>197904</v>
      </c>
      <c r="G53" s="21">
        <f t="shared" si="4"/>
        <v>209993.32</v>
      </c>
      <c r="H53" s="21">
        <v>179898.49</v>
      </c>
      <c r="I53" s="21">
        <v>30094.83</v>
      </c>
      <c r="J53" s="27">
        <f t="shared" si="1"/>
        <v>0.1433132730126844</v>
      </c>
      <c r="K53" s="46">
        <v>0</v>
      </c>
      <c r="L53" s="47">
        <v>64192.43</v>
      </c>
      <c r="M53" s="47">
        <v>0</v>
      </c>
      <c r="N53" s="47">
        <v>0</v>
      </c>
      <c r="O53" s="32">
        <f t="shared" si="2"/>
        <v>64192.43</v>
      </c>
      <c r="P53" s="33">
        <f t="shared" si="3"/>
        <v>0.32436145808068556</v>
      </c>
    </row>
    <row r="54" spans="1:16">
      <c r="A54" s="20" t="s">
        <v>518</v>
      </c>
      <c r="B54" s="29">
        <v>0.75700000000000001</v>
      </c>
      <c r="C54" s="29">
        <v>0.57110000000000005</v>
      </c>
      <c r="D54" s="29">
        <v>0.34</v>
      </c>
      <c r="E54" s="21">
        <v>48446.27</v>
      </c>
      <c r="F54" s="21">
        <v>668608</v>
      </c>
      <c r="G54" s="21">
        <f t="shared" si="4"/>
        <v>717054.27</v>
      </c>
      <c r="H54" s="21">
        <v>462540.97</v>
      </c>
      <c r="I54" s="21">
        <v>100492.74</v>
      </c>
      <c r="J54" s="27">
        <f t="shared" si="1"/>
        <v>0.14014663074246808</v>
      </c>
      <c r="K54" s="46">
        <v>154020.56</v>
      </c>
      <c r="L54" s="47">
        <v>0</v>
      </c>
      <c r="M54" s="47">
        <v>3600</v>
      </c>
      <c r="N54" s="47">
        <v>40264.67</v>
      </c>
      <c r="O54" s="32">
        <f t="shared" si="2"/>
        <v>43864.67</v>
      </c>
      <c r="P54" s="35">
        <f t="shared" si="3"/>
        <v>6.5605960443189434E-2</v>
      </c>
    </row>
    <row r="55" spans="1:16">
      <c r="A55" s="20" t="s">
        <v>520</v>
      </c>
      <c r="B55" s="29">
        <v>0.626</v>
      </c>
      <c r="C55" s="29">
        <v>0.313</v>
      </c>
      <c r="D55" s="29">
        <v>0.28000000000000003</v>
      </c>
      <c r="E55" s="21">
        <v>35642.629999999997</v>
      </c>
      <c r="F55" s="21">
        <v>536672</v>
      </c>
      <c r="G55" s="21">
        <f t="shared" si="4"/>
        <v>572314.63</v>
      </c>
      <c r="H55" s="21">
        <v>555205.34</v>
      </c>
      <c r="I55" s="21">
        <v>17109.29</v>
      </c>
      <c r="J55" s="27">
        <f t="shared" si="1"/>
        <v>2.9894902389617405E-2</v>
      </c>
      <c r="K55" s="46">
        <v>0</v>
      </c>
      <c r="L55" s="47">
        <v>0</v>
      </c>
      <c r="M55" s="47">
        <v>45801.93</v>
      </c>
      <c r="N55" s="47">
        <v>0</v>
      </c>
      <c r="O55" s="32">
        <f t="shared" si="2"/>
        <v>45801.93</v>
      </c>
      <c r="P55" s="35">
        <f t="shared" si="3"/>
        <v>8.5344363037385962E-2</v>
      </c>
    </row>
    <row r="56" spans="1:16">
      <c r="A56" s="20" t="s">
        <v>22</v>
      </c>
      <c r="B56" s="29">
        <v>0.72340000000000004</v>
      </c>
      <c r="C56" s="29">
        <v>0.39389999999999997</v>
      </c>
      <c r="D56" s="29">
        <v>0.45</v>
      </c>
      <c r="E56" s="21">
        <v>122412.82</v>
      </c>
      <c r="F56" s="21">
        <v>408704</v>
      </c>
      <c r="G56" s="21">
        <f t="shared" si="4"/>
        <v>531116.82000000007</v>
      </c>
      <c r="H56" s="21">
        <v>351537.13</v>
      </c>
      <c r="I56" s="21">
        <v>140579.69</v>
      </c>
      <c r="J56" s="27">
        <f t="shared" si="1"/>
        <v>0.26468694777920981</v>
      </c>
      <c r="K56" s="46">
        <v>39000</v>
      </c>
      <c r="L56" s="47">
        <v>0</v>
      </c>
      <c r="M56" s="47">
        <v>0</v>
      </c>
      <c r="N56" s="47">
        <v>1018.7</v>
      </c>
      <c r="O56" s="32">
        <f t="shared" si="2"/>
        <v>1018.7</v>
      </c>
      <c r="P56" s="33">
        <f t="shared" si="3"/>
        <v>2.492512918885061E-3</v>
      </c>
    </row>
    <row r="57" spans="1:16" ht="27">
      <c r="A57" s="20" t="s">
        <v>329</v>
      </c>
      <c r="B57" s="29">
        <v>0.73699999999999999</v>
      </c>
      <c r="C57" s="29">
        <v>0.1497</v>
      </c>
      <c r="D57" s="29">
        <v>0.28000000000000003</v>
      </c>
      <c r="E57" s="21">
        <v>103403.25</v>
      </c>
      <c r="F57" s="21">
        <v>275776</v>
      </c>
      <c r="G57" s="21">
        <f t="shared" si="4"/>
        <v>379179.25</v>
      </c>
      <c r="H57" s="21">
        <v>301037.96000000002</v>
      </c>
      <c r="I57" s="21">
        <v>26456.97</v>
      </c>
      <c r="J57" s="27">
        <f t="shared" si="1"/>
        <v>6.9774308588879799E-2</v>
      </c>
      <c r="K57" s="46">
        <v>51864.32</v>
      </c>
      <c r="L57" s="47">
        <v>0</v>
      </c>
      <c r="M57" s="47">
        <v>0</v>
      </c>
      <c r="N57" s="47">
        <v>0</v>
      </c>
      <c r="O57" s="32">
        <f t="shared" si="2"/>
        <v>0</v>
      </c>
      <c r="P57" s="33">
        <f t="shared" si="3"/>
        <v>0</v>
      </c>
    </row>
    <row r="58" spans="1:16">
      <c r="A58" s="20" t="s">
        <v>351</v>
      </c>
      <c r="B58" s="29">
        <v>0.67900000000000005</v>
      </c>
      <c r="C58" s="29">
        <v>0.25</v>
      </c>
      <c r="D58" s="29">
        <v>0.2</v>
      </c>
      <c r="E58" s="21">
        <v>86019.73</v>
      </c>
      <c r="F58" s="21">
        <v>110608</v>
      </c>
      <c r="G58" s="21">
        <f t="shared" si="4"/>
        <v>196627.72999999998</v>
      </c>
      <c r="H58" s="21">
        <v>196627.73</v>
      </c>
      <c r="I58" s="21">
        <v>0</v>
      </c>
      <c r="J58" s="27">
        <f t="shared" si="1"/>
        <v>0</v>
      </c>
      <c r="K58" s="46">
        <v>0</v>
      </c>
      <c r="L58" s="47">
        <v>0</v>
      </c>
      <c r="M58" s="47">
        <v>0</v>
      </c>
      <c r="N58" s="47">
        <v>0</v>
      </c>
      <c r="O58" s="32">
        <f t="shared" si="2"/>
        <v>0</v>
      </c>
      <c r="P58" s="33">
        <f t="shared" si="3"/>
        <v>0</v>
      </c>
    </row>
    <row r="59" spans="1:16">
      <c r="A59" s="20" t="s">
        <v>450</v>
      </c>
      <c r="B59" s="29">
        <v>0.71560000000000001</v>
      </c>
      <c r="C59" s="29">
        <v>0.61450000000000005</v>
      </c>
      <c r="D59" s="29">
        <v>0.23</v>
      </c>
      <c r="E59" s="21">
        <v>42953.7</v>
      </c>
      <c r="F59" s="21">
        <v>1464015</v>
      </c>
      <c r="G59" s="21">
        <f t="shared" si="4"/>
        <v>1506968.7</v>
      </c>
      <c r="H59" s="21">
        <v>1238463.77</v>
      </c>
      <c r="I59" s="21">
        <v>268504.93</v>
      </c>
      <c r="J59" s="27">
        <f t="shared" si="1"/>
        <v>0.17817551884123406</v>
      </c>
      <c r="K59" s="46">
        <v>0</v>
      </c>
      <c r="L59" s="47">
        <v>0</v>
      </c>
      <c r="M59" s="47">
        <v>25546.55</v>
      </c>
      <c r="N59" s="47">
        <v>0</v>
      </c>
      <c r="O59" s="32">
        <f t="shared" si="2"/>
        <v>25546.55</v>
      </c>
      <c r="P59" s="35">
        <f t="shared" si="3"/>
        <v>1.7449650447570551E-2</v>
      </c>
    </row>
    <row r="60" spans="1:16">
      <c r="A60" s="20" t="s">
        <v>62</v>
      </c>
      <c r="B60" s="29">
        <v>1</v>
      </c>
      <c r="C60" s="29">
        <v>0.9274</v>
      </c>
      <c r="D60" s="29">
        <v>0.65</v>
      </c>
      <c r="E60" s="21">
        <v>453710.94</v>
      </c>
      <c r="F60" s="21">
        <v>717216</v>
      </c>
      <c r="G60" s="21">
        <f t="shared" si="4"/>
        <v>1170926.94</v>
      </c>
      <c r="H60" s="21">
        <v>834380.80000000005</v>
      </c>
      <c r="I60" s="21">
        <v>237376.14</v>
      </c>
      <c r="J60" s="27">
        <f t="shared" si="1"/>
        <v>0.20272497957899921</v>
      </c>
      <c r="K60" s="46">
        <v>99170</v>
      </c>
      <c r="L60" s="47">
        <f>17296.45+0</f>
        <v>17296.45</v>
      </c>
      <c r="M60" s="47">
        <v>20544.05</v>
      </c>
      <c r="N60" s="47">
        <v>0</v>
      </c>
      <c r="O60" s="32">
        <f t="shared" si="2"/>
        <v>37840.5</v>
      </c>
      <c r="P60" s="35">
        <f t="shared" si="3"/>
        <v>5.2760256324454559E-2</v>
      </c>
    </row>
    <row r="61" spans="1:16">
      <c r="A61" s="20" t="s">
        <v>387</v>
      </c>
      <c r="B61" s="29">
        <v>0.61099999999999999</v>
      </c>
      <c r="C61" s="29">
        <v>0.12189999999999999</v>
      </c>
      <c r="D61" s="29">
        <v>0.27</v>
      </c>
      <c r="E61" s="21">
        <v>57067.44</v>
      </c>
      <c r="F61" s="21">
        <v>178560</v>
      </c>
      <c r="G61" s="21">
        <f t="shared" si="4"/>
        <v>235627.44</v>
      </c>
      <c r="H61" s="21">
        <v>170161.71</v>
      </c>
      <c r="I61" s="21">
        <v>65465.73</v>
      </c>
      <c r="J61" s="27">
        <f t="shared" si="1"/>
        <v>0.27783576479887062</v>
      </c>
      <c r="K61" s="46">
        <v>0</v>
      </c>
      <c r="L61" s="47">
        <v>12640.51</v>
      </c>
      <c r="M61" s="47">
        <v>0</v>
      </c>
      <c r="N61" s="47">
        <v>2737.12</v>
      </c>
      <c r="O61" s="32">
        <f t="shared" si="2"/>
        <v>15377.630000000001</v>
      </c>
      <c r="P61" s="35">
        <f t="shared" si="3"/>
        <v>8.6120239695340509E-2</v>
      </c>
    </row>
    <row r="62" spans="1:16">
      <c r="A62" s="20" t="s">
        <v>4</v>
      </c>
      <c r="B62" s="29">
        <v>0.58940000000000003</v>
      </c>
      <c r="C62" s="29">
        <v>0.19120000000000001</v>
      </c>
      <c r="D62" s="29">
        <v>0.15</v>
      </c>
      <c r="E62" s="21">
        <v>256682.59</v>
      </c>
      <c r="F62" s="21">
        <v>412672</v>
      </c>
      <c r="G62" s="21">
        <f t="shared" si="4"/>
        <v>669354.59</v>
      </c>
      <c r="H62" s="21">
        <v>577418.81000000006</v>
      </c>
      <c r="I62" s="21">
        <v>91935.78</v>
      </c>
      <c r="J62" s="27">
        <f t="shared" si="1"/>
        <v>0.13734989103458603</v>
      </c>
      <c r="K62" s="46">
        <v>0</v>
      </c>
      <c r="L62" s="47">
        <v>20000</v>
      </c>
      <c r="M62" s="47">
        <v>44545.96</v>
      </c>
      <c r="N62" s="47">
        <f>7775.92+14558.23</f>
        <v>22334.15</v>
      </c>
      <c r="O62" s="32">
        <f t="shared" si="2"/>
        <v>86880.11</v>
      </c>
      <c r="P62" s="35">
        <f t="shared" si="3"/>
        <v>0.21053066357785361</v>
      </c>
    </row>
    <row r="63" spans="1:16">
      <c r="A63" s="20" t="s">
        <v>209</v>
      </c>
      <c r="B63" s="29">
        <v>0.55989999999999995</v>
      </c>
      <c r="C63" s="29">
        <v>7.5700000000000003E-2</v>
      </c>
      <c r="D63" s="29">
        <v>0.31</v>
      </c>
      <c r="E63" s="21">
        <v>193.86</v>
      </c>
      <c r="F63" s="21">
        <v>136400</v>
      </c>
      <c r="G63" s="21">
        <f t="shared" si="4"/>
        <v>136593.85999999999</v>
      </c>
      <c r="H63" s="21">
        <v>131436.97</v>
      </c>
      <c r="I63" s="21">
        <v>5156.8900000000003</v>
      </c>
      <c r="J63" s="27">
        <f t="shared" si="1"/>
        <v>3.7753453925381424E-2</v>
      </c>
      <c r="K63" s="46">
        <v>0</v>
      </c>
      <c r="L63" s="47">
        <v>0</v>
      </c>
      <c r="M63" s="47">
        <v>0</v>
      </c>
      <c r="N63" s="47">
        <v>0</v>
      </c>
      <c r="O63" s="32">
        <f t="shared" si="2"/>
        <v>0</v>
      </c>
      <c r="P63" s="33">
        <f t="shared" si="3"/>
        <v>0</v>
      </c>
    </row>
    <row r="64" spans="1:16">
      <c r="A64" s="20" t="s">
        <v>235</v>
      </c>
      <c r="B64" s="29">
        <v>0.9294</v>
      </c>
      <c r="C64" s="29">
        <v>0.93149999999999999</v>
      </c>
      <c r="D64" s="29">
        <v>0.61</v>
      </c>
      <c r="E64" s="21">
        <v>1430625.73</v>
      </c>
      <c r="F64" s="21">
        <v>1932758</v>
      </c>
      <c r="G64" s="21">
        <f t="shared" si="4"/>
        <v>3363383.73</v>
      </c>
      <c r="H64" s="21">
        <v>1841650.55</v>
      </c>
      <c r="I64" s="21">
        <v>1521733.18</v>
      </c>
      <c r="J64" s="27">
        <f t="shared" si="1"/>
        <v>0.45244114325307744</v>
      </c>
      <c r="K64" s="46">
        <v>0</v>
      </c>
      <c r="L64" s="47">
        <v>0</v>
      </c>
      <c r="M64" s="47">
        <v>62134.879999999997</v>
      </c>
      <c r="N64" s="47">
        <f>16539.88+162145.77+128136.56</f>
        <v>306822.20999999996</v>
      </c>
      <c r="O64" s="32">
        <f t="shared" si="2"/>
        <v>368957.08999999997</v>
      </c>
      <c r="P64" s="35">
        <f t="shared" si="3"/>
        <v>0.19089668235754292</v>
      </c>
    </row>
    <row r="65" spans="1:16">
      <c r="A65" s="20" t="s">
        <v>379</v>
      </c>
      <c r="B65" s="29">
        <v>0.5141</v>
      </c>
      <c r="C65" s="29">
        <v>5.0299999999999997E-2</v>
      </c>
      <c r="D65" s="29">
        <v>0.15</v>
      </c>
      <c r="E65" s="21">
        <v>26137.07</v>
      </c>
      <c r="F65" s="21">
        <v>341744</v>
      </c>
      <c r="G65" s="21">
        <f t="shared" si="4"/>
        <v>367881.07</v>
      </c>
      <c r="H65" s="21">
        <v>343912.23</v>
      </c>
      <c r="I65" s="21">
        <v>28968.84</v>
      </c>
      <c r="J65" s="27">
        <f t="shared" si="1"/>
        <v>7.8745122710445523E-2</v>
      </c>
      <c r="K65" s="46">
        <v>0</v>
      </c>
      <c r="L65" s="47">
        <v>0</v>
      </c>
      <c r="M65" s="47">
        <v>26341.38</v>
      </c>
      <c r="N65" s="47">
        <v>6990.7</v>
      </c>
      <c r="O65" s="32">
        <f t="shared" si="2"/>
        <v>33332.080000000002</v>
      </c>
      <c r="P65" s="35">
        <f t="shared" si="3"/>
        <v>9.7535231050142807E-2</v>
      </c>
    </row>
    <row r="66" spans="1:16">
      <c r="A66" s="20" t="s">
        <v>401</v>
      </c>
      <c r="B66" s="29">
        <v>0.90769999999999995</v>
      </c>
      <c r="C66" s="29">
        <v>0.96230000000000004</v>
      </c>
      <c r="D66" s="29">
        <v>0.79</v>
      </c>
      <c r="E66" s="21">
        <v>0</v>
      </c>
      <c r="F66" s="21">
        <v>207328</v>
      </c>
      <c r="G66" s="21">
        <f t="shared" si="4"/>
        <v>207328</v>
      </c>
      <c r="H66" s="21">
        <v>204868.33</v>
      </c>
      <c r="I66" s="21">
        <v>2459.67</v>
      </c>
      <c r="J66" s="27">
        <f t="shared" ref="J66:J129" si="5">I66/G66</f>
        <v>1.1863665303287545E-2</v>
      </c>
      <c r="K66" s="46">
        <v>0</v>
      </c>
      <c r="L66" s="47">
        <v>0</v>
      </c>
      <c r="M66" s="47">
        <v>0</v>
      </c>
      <c r="N66" s="47">
        <f>46745.47+0</f>
        <v>46745.47</v>
      </c>
      <c r="O66" s="32">
        <f t="shared" ref="O66:O129" si="6">SUM(L66:N66)</f>
        <v>46745.47</v>
      </c>
      <c r="P66" s="33">
        <f t="shared" ref="P66:P129" si="7">O66/F66</f>
        <v>0.22546626601327366</v>
      </c>
    </row>
    <row r="67" spans="1:16" ht="27">
      <c r="A67" s="20" t="s">
        <v>142</v>
      </c>
      <c r="B67" s="29">
        <v>0.73009999999999997</v>
      </c>
      <c r="C67" s="29">
        <v>0.32419999999999999</v>
      </c>
      <c r="D67" s="29">
        <v>0.31</v>
      </c>
      <c r="E67" s="21">
        <v>0</v>
      </c>
      <c r="F67" s="21">
        <v>600155</v>
      </c>
      <c r="G67" s="21">
        <f t="shared" si="4"/>
        <v>600155</v>
      </c>
      <c r="H67" s="21">
        <v>518036.43</v>
      </c>
      <c r="I67" s="21">
        <v>0</v>
      </c>
      <c r="J67" s="27">
        <f t="shared" si="5"/>
        <v>0</v>
      </c>
      <c r="K67" s="46">
        <v>82118.570000000007</v>
      </c>
      <c r="L67" s="47">
        <v>0</v>
      </c>
      <c r="M67" s="47">
        <v>0</v>
      </c>
      <c r="N67" s="47">
        <v>0</v>
      </c>
      <c r="O67" s="32">
        <f t="shared" si="6"/>
        <v>0</v>
      </c>
      <c r="P67" s="33">
        <f t="shared" si="7"/>
        <v>0</v>
      </c>
    </row>
    <row r="68" spans="1:16">
      <c r="A68" s="20" t="s">
        <v>138</v>
      </c>
      <c r="B68" s="29">
        <v>0.79790000000000005</v>
      </c>
      <c r="C68" s="29">
        <v>0.73939999999999995</v>
      </c>
      <c r="D68" s="29">
        <v>0.42</v>
      </c>
      <c r="E68" s="21">
        <v>238143.91</v>
      </c>
      <c r="F68" s="21">
        <v>1273728</v>
      </c>
      <c r="G68" s="21">
        <f t="shared" si="4"/>
        <v>1511871.91</v>
      </c>
      <c r="H68" s="21">
        <v>1253975</v>
      </c>
      <c r="I68" s="21">
        <v>175056.91</v>
      </c>
      <c r="J68" s="27">
        <f t="shared" si="5"/>
        <v>0.11578818869648819</v>
      </c>
      <c r="K68" s="46">
        <v>83190</v>
      </c>
      <c r="L68" s="47">
        <v>46523.77</v>
      </c>
      <c r="M68" s="47">
        <v>16677.63</v>
      </c>
      <c r="N68" s="47">
        <f>31233.71+85695.47</f>
        <v>116929.18</v>
      </c>
      <c r="O68" s="32">
        <f t="shared" si="6"/>
        <v>180130.58</v>
      </c>
      <c r="P68" s="35">
        <f t="shared" si="7"/>
        <v>0.14141997349512611</v>
      </c>
    </row>
    <row r="69" spans="1:16">
      <c r="A69" s="20" t="s">
        <v>124</v>
      </c>
      <c r="B69" s="29">
        <v>0.95430000000000004</v>
      </c>
      <c r="C69" s="29">
        <v>0.96719999999999995</v>
      </c>
      <c r="D69" s="29">
        <v>0.42</v>
      </c>
      <c r="E69" s="21">
        <v>234.82</v>
      </c>
      <c r="F69" s="21">
        <v>1191888</v>
      </c>
      <c r="G69" s="21">
        <f t="shared" si="4"/>
        <v>1192122.82</v>
      </c>
      <c r="H69" s="21">
        <v>1192122.82</v>
      </c>
      <c r="I69" s="21">
        <v>0</v>
      </c>
      <c r="J69" s="27">
        <f t="shared" si="5"/>
        <v>0</v>
      </c>
      <c r="K69" s="46">
        <v>0</v>
      </c>
      <c r="L69" s="47">
        <v>40613.019999999997</v>
      </c>
      <c r="M69" s="47">
        <v>21064.59</v>
      </c>
      <c r="N69" s="47">
        <f>194442.35+32400</f>
        <v>226842.35</v>
      </c>
      <c r="O69" s="32">
        <f t="shared" si="6"/>
        <v>288519.96000000002</v>
      </c>
      <c r="P69" s="35">
        <f t="shared" si="7"/>
        <v>0.24206969111191656</v>
      </c>
    </row>
    <row r="70" spans="1:16">
      <c r="A70" s="20" t="s">
        <v>339</v>
      </c>
      <c r="B70" s="29">
        <v>0.54200000000000004</v>
      </c>
      <c r="C70" s="29">
        <v>7.4700000000000003E-2</v>
      </c>
      <c r="D70" s="29">
        <v>0.28000000000000003</v>
      </c>
      <c r="E70" s="21">
        <v>56893.38</v>
      </c>
      <c r="F70" s="21">
        <v>166656</v>
      </c>
      <c r="G70" s="21">
        <f t="shared" si="4"/>
        <v>223549.38</v>
      </c>
      <c r="H70" s="21">
        <v>151003.41</v>
      </c>
      <c r="I70" s="21">
        <v>29670.82</v>
      </c>
      <c r="J70" s="27">
        <f t="shared" si="5"/>
        <v>0.13272602232222697</v>
      </c>
      <c r="K70" s="46">
        <v>42875.15</v>
      </c>
      <c r="L70" s="47">
        <v>0</v>
      </c>
      <c r="M70" s="47">
        <v>0</v>
      </c>
      <c r="N70" s="47">
        <v>4226.03</v>
      </c>
      <c r="O70" s="32">
        <f t="shared" si="6"/>
        <v>4226.03</v>
      </c>
      <c r="P70" s="35">
        <f t="shared" si="7"/>
        <v>2.5357802899385558E-2</v>
      </c>
    </row>
    <row r="71" spans="1:16">
      <c r="A71" s="20" t="s">
        <v>367</v>
      </c>
      <c r="B71" s="29">
        <v>0.72640000000000005</v>
      </c>
      <c r="C71" s="29">
        <v>0.16039999999999999</v>
      </c>
      <c r="D71" s="29">
        <v>0.25</v>
      </c>
      <c r="E71" s="21">
        <v>61091.95</v>
      </c>
      <c r="F71" s="21">
        <v>367038</v>
      </c>
      <c r="G71" s="21">
        <f t="shared" si="4"/>
        <v>428129.95</v>
      </c>
      <c r="H71" s="21">
        <v>427564.95</v>
      </c>
      <c r="I71" s="21">
        <v>565</v>
      </c>
      <c r="J71" s="27">
        <f t="shared" si="5"/>
        <v>1.319692770851467E-3</v>
      </c>
      <c r="K71" s="46">
        <v>0</v>
      </c>
      <c r="L71" s="47">
        <v>0</v>
      </c>
      <c r="M71" s="47">
        <v>0</v>
      </c>
      <c r="N71" s="47">
        <f>15548.24+15229.55</f>
        <v>30777.79</v>
      </c>
      <c r="O71" s="32">
        <f t="shared" si="6"/>
        <v>30777.79</v>
      </c>
      <c r="P71" s="35">
        <f t="shared" si="7"/>
        <v>8.385450552803797E-2</v>
      </c>
    </row>
    <row r="72" spans="1:16">
      <c r="A72" s="20" t="s">
        <v>462</v>
      </c>
      <c r="B72" s="29">
        <v>0.61599999999999999</v>
      </c>
      <c r="C72" s="29">
        <v>0.58550000000000002</v>
      </c>
      <c r="D72" s="29">
        <v>0.31</v>
      </c>
      <c r="E72" s="21">
        <v>0</v>
      </c>
      <c r="F72" s="21">
        <v>1350112</v>
      </c>
      <c r="G72" s="21">
        <f t="shared" si="4"/>
        <v>1350112</v>
      </c>
      <c r="H72" s="21">
        <v>1334952.8899999999</v>
      </c>
      <c r="I72" s="21">
        <v>15159.11</v>
      </c>
      <c r="J72" s="27">
        <f t="shared" si="5"/>
        <v>1.1228038858998365E-2</v>
      </c>
      <c r="K72" s="46">
        <v>0</v>
      </c>
      <c r="L72" s="47">
        <v>0</v>
      </c>
      <c r="M72" s="47">
        <v>0</v>
      </c>
      <c r="N72" s="47">
        <f>59055.18+15361.21</f>
        <v>74416.39</v>
      </c>
      <c r="O72" s="32">
        <f t="shared" si="6"/>
        <v>74416.39</v>
      </c>
      <c r="P72" s="35">
        <f t="shared" si="7"/>
        <v>5.5118679042923849E-2</v>
      </c>
    </row>
    <row r="73" spans="1:16">
      <c r="A73" s="20" t="s">
        <v>480</v>
      </c>
      <c r="B73" s="29">
        <v>0.39279999999999998</v>
      </c>
      <c r="C73" s="29">
        <v>0.1026</v>
      </c>
      <c r="D73" s="29">
        <v>0.28000000000000003</v>
      </c>
      <c r="E73" s="21">
        <v>57.74</v>
      </c>
      <c r="F73" s="21">
        <v>209312</v>
      </c>
      <c r="G73" s="21">
        <f t="shared" si="4"/>
        <v>209369.74</v>
      </c>
      <c r="H73" s="21">
        <v>209192.95</v>
      </c>
      <c r="I73" s="21">
        <v>176.79</v>
      </c>
      <c r="J73" s="27">
        <f t="shared" si="5"/>
        <v>8.443913623812113E-4</v>
      </c>
      <c r="K73" s="46">
        <v>0</v>
      </c>
      <c r="L73" s="47">
        <v>0</v>
      </c>
      <c r="M73" s="47">
        <v>30156.35</v>
      </c>
      <c r="N73" s="47">
        <v>0</v>
      </c>
      <c r="O73" s="32">
        <f t="shared" si="6"/>
        <v>30156.35</v>
      </c>
      <c r="P73" s="35">
        <f t="shared" si="7"/>
        <v>0.14407367948325944</v>
      </c>
    </row>
    <row r="74" spans="1:16" ht="27">
      <c r="A74" s="20" t="s">
        <v>90</v>
      </c>
      <c r="B74" s="29">
        <v>0.43290000000000001</v>
      </c>
      <c r="C74" s="29">
        <v>0.20219999999999999</v>
      </c>
      <c r="D74" s="29">
        <v>0.21</v>
      </c>
      <c r="E74" s="21">
        <v>19766.87</v>
      </c>
      <c r="F74" s="21">
        <v>126480</v>
      </c>
      <c r="G74" s="21">
        <f t="shared" si="4"/>
        <v>146246.87</v>
      </c>
      <c r="H74" s="21">
        <v>136921.67000000001</v>
      </c>
      <c r="I74" s="21">
        <v>9325.2000000000007</v>
      </c>
      <c r="J74" s="27">
        <f t="shared" si="5"/>
        <v>6.376341592814945E-2</v>
      </c>
      <c r="K74" s="46">
        <v>0</v>
      </c>
      <c r="L74" s="47">
        <v>0</v>
      </c>
      <c r="M74" s="47">
        <v>0</v>
      </c>
      <c r="N74" s="47">
        <v>24110.61</v>
      </c>
      <c r="O74" s="32">
        <f t="shared" si="6"/>
        <v>24110.61</v>
      </c>
      <c r="P74" s="35">
        <f t="shared" si="7"/>
        <v>0.19062784629981025</v>
      </c>
    </row>
    <row r="75" spans="1:16">
      <c r="A75" s="20" t="s">
        <v>283</v>
      </c>
      <c r="B75" s="29">
        <v>0.69089999999999996</v>
      </c>
      <c r="C75" s="29">
        <v>0.45090000000000002</v>
      </c>
      <c r="D75" s="29">
        <v>0.33</v>
      </c>
      <c r="E75" s="21">
        <v>3079.92</v>
      </c>
      <c r="F75" s="21">
        <v>390185</v>
      </c>
      <c r="G75" s="21">
        <f t="shared" si="4"/>
        <v>393264.92</v>
      </c>
      <c r="H75" s="21">
        <v>327115.99</v>
      </c>
      <c r="I75" s="21">
        <v>66148.929999999993</v>
      </c>
      <c r="J75" s="27">
        <f t="shared" si="5"/>
        <v>0.16820450194235478</v>
      </c>
      <c r="K75" s="46">
        <v>0</v>
      </c>
      <c r="L75" s="47">
        <v>0</v>
      </c>
      <c r="M75" s="47">
        <v>24078.94</v>
      </c>
      <c r="N75" s="47">
        <v>560.07000000000005</v>
      </c>
      <c r="O75" s="32">
        <f t="shared" si="6"/>
        <v>24639.01</v>
      </c>
      <c r="P75" s="35">
        <f t="shared" si="7"/>
        <v>6.3146994374463389E-2</v>
      </c>
    </row>
    <row r="76" spans="1:16" ht="27">
      <c r="A76" s="20" t="s">
        <v>407</v>
      </c>
      <c r="B76" s="29">
        <v>0.3911</v>
      </c>
      <c r="C76" s="29">
        <v>0.59330000000000005</v>
      </c>
      <c r="D76" s="29">
        <v>0.19</v>
      </c>
      <c r="E76" s="21">
        <v>0</v>
      </c>
      <c r="F76" s="21">
        <v>69440</v>
      </c>
      <c r="G76" s="21">
        <f t="shared" si="4"/>
        <v>69440</v>
      </c>
      <c r="H76" s="21">
        <v>69440</v>
      </c>
      <c r="I76" s="21">
        <v>0</v>
      </c>
      <c r="J76" s="27">
        <f t="shared" si="5"/>
        <v>0</v>
      </c>
      <c r="K76" s="46">
        <v>0</v>
      </c>
      <c r="L76" s="47">
        <v>0</v>
      </c>
      <c r="M76" s="47">
        <v>0</v>
      </c>
      <c r="N76" s="47">
        <v>0</v>
      </c>
      <c r="O76" s="32">
        <f t="shared" si="6"/>
        <v>0</v>
      </c>
      <c r="P76" s="33">
        <f t="shared" si="7"/>
        <v>0</v>
      </c>
    </row>
    <row r="77" spans="1:16">
      <c r="A77" s="20" t="s">
        <v>411</v>
      </c>
      <c r="B77" s="29">
        <v>0.41460000000000002</v>
      </c>
      <c r="C77" s="29">
        <v>0.58789999999999998</v>
      </c>
      <c r="D77" s="29" t="s">
        <v>536</v>
      </c>
      <c r="E77" s="21">
        <v>0</v>
      </c>
      <c r="F77" s="21">
        <v>16864</v>
      </c>
      <c r="G77" s="21">
        <f t="shared" si="4"/>
        <v>16864</v>
      </c>
      <c r="H77" s="21">
        <v>16864</v>
      </c>
      <c r="I77" s="21">
        <v>0</v>
      </c>
      <c r="J77" s="27">
        <f t="shared" si="5"/>
        <v>0</v>
      </c>
      <c r="K77" s="46">
        <v>0</v>
      </c>
      <c r="L77" s="47">
        <v>0</v>
      </c>
      <c r="M77" s="47">
        <v>0</v>
      </c>
      <c r="N77" s="47">
        <v>0</v>
      </c>
      <c r="O77" s="32">
        <f t="shared" si="6"/>
        <v>0</v>
      </c>
      <c r="P77" s="33">
        <f t="shared" si="7"/>
        <v>0</v>
      </c>
    </row>
    <row r="78" spans="1:16">
      <c r="A78" s="20" t="s">
        <v>409</v>
      </c>
      <c r="B78" s="29">
        <v>0.38479999999999998</v>
      </c>
      <c r="C78" s="29">
        <v>0.5897</v>
      </c>
      <c r="D78" s="29" t="s">
        <v>536</v>
      </c>
      <c r="E78" s="21">
        <v>0</v>
      </c>
      <c r="F78" s="21">
        <v>75392</v>
      </c>
      <c r="G78" s="21">
        <f t="shared" si="4"/>
        <v>75392</v>
      </c>
      <c r="H78" s="21">
        <v>75392</v>
      </c>
      <c r="I78" s="21">
        <v>0</v>
      </c>
      <c r="J78" s="27">
        <f t="shared" si="5"/>
        <v>0</v>
      </c>
      <c r="K78" s="46">
        <v>0</v>
      </c>
      <c r="L78" s="47">
        <v>0</v>
      </c>
      <c r="M78" s="47">
        <v>0</v>
      </c>
      <c r="N78" s="47">
        <v>0</v>
      </c>
      <c r="O78" s="32">
        <f t="shared" si="6"/>
        <v>0</v>
      </c>
      <c r="P78" s="33">
        <f t="shared" si="7"/>
        <v>0</v>
      </c>
    </row>
    <row r="79" spans="1:16" ht="27">
      <c r="A79" s="20" t="s">
        <v>58</v>
      </c>
      <c r="B79" s="29">
        <v>0.54920000000000002</v>
      </c>
      <c r="C79" s="29">
        <v>8.1799999999999998E-2</v>
      </c>
      <c r="D79" s="29">
        <v>0.34</v>
      </c>
      <c r="E79" s="21">
        <v>4368.9799999999996</v>
      </c>
      <c r="F79" s="21">
        <v>174096</v>
      </c>
      <c r="G79" s="21">
        <f t="shared" si="4"/>
        <v>178464.98</v>
      </c>
      <c r="H79" s="21">
        <v>177141</v>
      </c>
      <c r="I79" s="21">
        <v>1323.98</v>
      </c>
      <c r="J79" s="27">
        <f t="shared" si="5"/>
        <v>7.4187103822834031E-3</v>
      </c>
      <c r="K79" s="46">
        <v>0</v>
      </c>
      <c r="L79" s="47">
        <v>0</v>
      </c>
      <c r="M79" s="47">
        <v>0</v>
      </c>
      <c r="N79" s="47">
        <v>0</v>
      </c>
      <c r="O79" s="32">
        <f t="shared" si="6"/>
        <v>0</v>
      </c>
      <c r="P79" s="33">
        <f t="shared" si="7"/>
        <v>0</v>
      </c>
    </row>
    <row r="80" spans="1:16">
      <c r="A80" s="20" t="s">
        <v>482</v>
      </c>
      <c r="B80" s="29">
        <v>0.37680000000000002</v>
      </c>
      <c r="C80" s="29">
        <v>9.5299999999999996E-2</v>
      </c>
      <c r="D80" s="29">
        <v>0.18</v>
      </c>
      <c r="E80" s="21">
        <v>10627.08</v>
      </c>
      <c r="F80" s="21">
        <v>382176</v>
      </c>
      <c r="G80" s="21">
        <f t="shared" si="4"/>
        <v>392803.08</v>
      </c>
      <c r="H80" s="21">
        <v>332317.39</v>
      </c>
      <c r="I80" s="21">
        <v>24185.69</v>
      </c>
      <c r="J80" s="27">
        <f t="shared" si="5"/>
        <v>6.1572047754819025E-2</v>
      </c>
      <c r="K80" s="46">
        <v>40000</v>
      </c>
      <c r="L80" s="47">
        <v>0</v>
      </c>
      <c r="M80" s="47">
        <v>42602.36</v>
      </c>
      <c r="N80" s="47">
        <v>6003.88</v>
      </c>
      <c r="O80" s="32">
        <f t="shared" si="6"/>
        <v>48606.239999999998</v>
      </c>
      <c r="P80" s="35">
        <f t="shared" si="7"/>
        <v>0.12718286862597336</v>
      </c>
    </row>
    <row r="81" spans="1:16">
      <c r="A81" s="20" t="s">
        <v>484</v>
      </c>
      <c r="B81" s="29">
        <v>0.36280000000000001</v>
      </c>
      <c r="C81" s="29">
        <v>0.26829999999999998</v>
      </c>
      <c r="D81" s="29">
        <v>0.26</v>
      </c>
      <c r="E81" s="21">
        <v>13957.2</v>
      </c>
      <c r="F81" s="21">
        <v>1427984</v>
      </c>
      <c r="G81" s="21">
        <f t="shared" si="4"/>
        <v>1441941.2</v>
      </c>
      <c r="H81" s="21">
        <v>1239849.28</v>
      </c>
      <c r="I81" s="21">
        <v>202091.92</v>
      </c>
      <c r="J81" s="27">
        <f t="shared" si="5"/>
        <v>0.14015267751556029</v>
      </c>
      <c r="K81" s="46">
        <v>0</v>
      </c>
      <c r="L81" s="47">
        <v>0</v>
      </c>
      <c r="M81" s="47">
        <v>138986.68</v>
      </c>
      <c r="N81" s="47">
        <v>0</v>
      </c>
      <c r="O81" s="32">
        <f t="shared" si="6"/>
        <v>138986.68</v>
      </c>
      <c r="P81" s="35">
        <f t="shared" si="7"/>
        <v>9.7330698383175152E-2</v>
      </c>
    </row>
    <row r="82" spans="1:16">
      <c r="A82" s="20" t="s">
        <v>291</v>
      </c>
      <c r="B82" s="29">
        <v>0.61909999999999998</v>
      </c>
      <c r="C82" s="29">
        <v>2.8299999999999999E-2</v>
      </c>
      <c r="D82" s="29">
        <v>0.3</v>
      </c>
      <c r="E82" s="21">
        <v>0</v>
      </c>
      <c r="F82" s="21">
        <v>261392</v>
      </c>
      <c r="G82" s="21">
        <f t="shared" ref="G82:G113" si="8">E82+F82</f>
        <v>261392</v>
      </c>
      <c r="H82" s="21">
        <v>261392</v>
      </c>
      <c r="I82" s="21">
        <v>0</v>
      </c>
      <c r="J82" s="27">
        <f t="shared" si="5"/>
        <v>0</v>
      </c>
      <c r="K82" s="46">
        <v>0</v>
      </c>
      <c r="L82" s="47">
        <v>0</v>
      </c>
      <c r="M82" s="47">
        <v>0</v>
      </c>
      <c r="N82" s="47">
        <v>0</v>
      </c>
      <c r="O82" s="32">
        <f t="shared" si="6"/>
        <v>0</v>
      </c>
      <c r="P82" s="33">
        <f t="shared" si="7"/>
        <v>0</v>
      </c>
    </row>
    <row r="83" spans="1:16">
      <c r="A83" s="20" t="s">
        <v>136</v>
      </c>
      <c r="B83" s="29">
        <v>0.58809999999999996</v>
      </c>
      <c r="C83" s="29">
        <v>0.55620000000000003</v>
      </c>
      <c r="D83" s="29">
        <v>0.36</v>
      </c>
      <c r="E83" s="21">
        <v>8960.66</v>
      </c>
      <c r="F83" s="21">
        <v>260400</v>
      </c>
      <c r="G83" s="21">
        <f t="shared" si="8"/>
        <v>269360.65999999997</v>
      </c>
      <c r="H83" s="21">
        <v>190528.99</v>
      </c>
      <c r="I83" s="21">
        <v>78831.67</v>
      </c>
      <c r="J83" s="27">
        <f t="shared" si="5"/>
        <v>0.29266215044171634</v>
      </c>
      <c r="K83" s="46">
        <v>0</v>
      </c>
      <c r="L83" s="47">
        <v>43438.78</v>
      </c>
      <c r="M83" s="47">
        <v>262.22000000000003</v>
      </c>
      <c r="N83" s="47">
        <v>12573.1</v>
      </c>
      <c r="O83" s="32">
        <f t="shared" si="6"/>
        <v>56274.1</v>
      </c>
      <c r="P83" s="35">
        <f t="shared" si="7"/>
        <v>0.21610637480798769</v>
      </c>
    </row>
    <row r="84" spans="1:16">
      <c r="A84" s="20" t="s">
        <v>271</v>
      </c>
      <c r="B84" s="29">
        <v>0.59409999999999996</v>
      </c>
      <c r="C84" s="29">
        <v>0.30109999999999998</v>
      </c>
      <c r="D84" s="29">
        <v>0.26</v>
      </c>
      <c r="E84" s="21">
        <v>0</v>
      </c>
      <c r="F84" s="21">
        <v>151280</v>
      </c>
      <c r="G84" s="21">
        <f t="shared" si="8"/>
        <v>151280</v>
      </c>
      <c r="H84" s="21">
        <v>151280</v>
      </c>
      <c r="I84" s="21">
        <v>0</v>
      </c>
      <c r="J84" s="27">
        <f t="shared" si="5"/>
        <v>0</v>
      </c>
      <c r="K84" s="46">
        <v>0</v>
      </c>
      <c r="L84" s="47">
        <v>0</v>
      </c>
      <c r="M84" s="47">
        <v>0</v>
      </c>
      <c r="N84" s="47">
        <v>0</v>
      </c>
      <c r="O84" s="32">
        <f t="shared" si="6"/>
        <v>0</v>
      </c>
      <c r="P84" s="33">
        <f t="shared" si="7"/>
        <v>0</v>
      </c>
    </row>
    <row r="85" spans="1:16">
      <c r="A85" s="20" t="s">
        <v>419</v>
      </c>
      <c r="B85" s="29">
        <v>1</v>
      </c>
      <c r="C85" s="29">
        <v>0.82050000000000001</v>
      </c>
      <c r="D85" s="29">
        <v>0.56999999999999995</v>
      </c>
      <c r="E85" s="21">
        <v>417726.79</v>
      </c>
      <c r="F85" s="21">
        <v>2912512</v>
      </c>
      <c r="G85" s="21">
        <f t="shared" si="8"/>
        <v>3330238.79</v>
      </c>
      <c r="H85" s="21">
        <v>2557832.41</v>
      </c>
      <c r="I85" s="21">
        <v>362142.4</v>
      </c>
      <c r="J85" s="27">
        <f t="shared" si="5"/>
        <v>0.10874367360305716</v>
      </c>
      <c r="K85" s="46">
        <v>439670.98</v>
      </c>
      <c r="L85" s="47">
        <f>110757.8+86321.89</f>
        <v>197079.69</v>
      </c>
      <c r="M85" s="47">
        <v>188023.47</v>
      </c>
      <c r="N85" s="47">
        <v>41983.21</v>
      </c>
      <c r="O85" s="32">
        <f t="shared" si="6"/>
        <v>427086.37000000005</v>
      </c>
      <c r="P85" s="35">
        <f t="shared" si="7"/>
        <v>0.14663849281994376</v>
      </c>
    </row>
    <row r="86" spans="1:16">
      <c r="A86" s="20" t="s">
        <v>438</v>
      </c>
      <c r="B86" s="29">
        <v>0.65639999999999998</v>
      </c>
      <c r="C86" s="29">
        <v>0.52329999999999999</v>
      </c>
      <c r="D86" s="29">
        <v>0.33</v>
      </c>
      <c r="E86" s="21">
        <v>177246.16</v>
      </c>
      <c r="F86" s="21">
        <v>4269568</v>
      </c>
      <c r="G86" s="21">
        <f t="shared" si="8"/>
        <v>4446814.16</v>
      </c>
      <c r="H86" s="21">
        <v>1784136.33</v>
      </c>
      <c r="I86" s="21">
        <v>782111.03</v>
      </c>
      <c r="J86" s="27">
        <f t="shared" si="5"/>
        <v>0.1758812043541752</v>
      </c>
      <c r="K86" s="46">
        <v>2181566.7999999998</v>
      </c>
      <c r="L86" s="47">
        <v>0</v>
      </c>
      <c r="M86" s="47">
        <v>0</v>
      </c>
      <c r="N86" s="47">
        <v>7104.32</v>
      </c>
      <c r="O86" s="32">
        <f t="shared" si="6"/>
        <v>7104.32</v>
      </c>
      <c r="P86" s="33">
        <f t="shared" si="7"/>
        <v>1.6639435184074829E-3</v>
      </c>
    </row>
    <row r="87" spans="1:16">
      <c r="A87" s="20" t="s">
        <v>297</v>
      </c>
      <c r="B87" s="29">
        <v>0.5635</v>
      </c>
      <c r="C87" s="29">
        <v>2.7199999999999998E-2</v>
      </c>
      <c r="D87" s="29">
        <v>0.26</v>
      </c>
      <c r="E87" s="21">
        <v>67493.210000000006</v>
      </c>
      <c r="F87" s="21">
        <v>279744</v>
      </c>
      <c r="G87" s="21">
        <f t="shared" si="8"/>
        <v>347237.21</v>
      </c>
      <c r="H87" s="21">
        <v>258074.83</v>
      </c>
      <c r="I87" s="21">
        <v>89162.38</v>
      </c>
      <c r="J87" s="27">
        <f t="shared" si="5"/>
        <v>0.25677657069068144</v>
      </c>
      <c r="K87" s="46">
        <v>0</v>
      </c>
      <c r="L87" s="47">
        <v>1348.85</v>
      </c>
      <c r="M87" s="47">
        <v>7825.34</v>
      </c>
      <c r="N87" s="47">
        <f>27416.09+13326.46</f>
        <v>40742.550000000003</v>
      </c>
      <c r="O87" s="32">
        <f t="shared" si="6"/>
        <v>49916.740000000005</v>
      </c>
      <c r="P87" s="35">
        <f t="shared" si="7"/>
        <v>0.17843721402425075</v>
      </c>
    </row>
    <row r="88" spans="1:16">
      <c r="A88" s="20" t="s">
        <v>172</v>
      </c>
      <c r="B88" s="29">
        <v>0.42830000000000001</v>
      </c>
      <c r="C88" s="29">
        <v>9.7500000000000003E-2</v>
      </c>
      <c r="D88" s="29">
        <v>0.18</v>
      </c>
      <c r="E88" s="21">
        <v>6764.37</v>
      </c>
      <c r="F88" s="21">
        <v>245024</v>
      </c>
      <c r="G88" s="21">
        <f t="shared" si="8"/>
        <v>251788.37</v>
      </c>
      <c r="H88" s="21">
        <v>241665.8</v>
      </c>
      <c r="I88" s="21">
        <v>10122.57</v>
      </c>
      <c r="J88" s="27">
        <f t="shared" si="5"/>
        <v>4.0202690855022413E-2</v>
      </c>
      <c r="K88" s="46">
        <v>0</v>
      </c>
      <c r="L88" s="47">
        <v>64295.76</v>
      </c>
      <c r="M88" s="47">
        <v>0</v>
      </c>
      <c r="N88" s="47">
        <v>0</v>
      </c>
      <c r="O88" s="32">
        <f t="shared" si="6"/>
        <v>64295.76</v>
      </c>
      <c r="P88" s="35">
        <f t="shared" si="7"/>
        <v>0.26240596839493274</v>
      </c>
    </row>
    <row r="89" spans="1:16" ht="27">
      <c r="A89" s="20" t="s">
        <v>295</v>
      </c>
      <c r="B89" s="29">
        <v>0.4511</v>
      </c>
      <c r="C89" s="29">
        <v>1.7299999999999999E-2</v>
      </c>
      <c r="D89" s="29">
        <v>0.15</v>
      </c>
      <c r="E89" s="21">
        <v>36990.57</v>
      </c>
      <c r="F89" s="21">
        <v>201376</v>
      </c>
      <c r="G89" s="21">
        <f t="shared" si="8"/>
        <v>238366.57</v>
      </c>
      <c r="H89" s="21">
        <v>223819.54</v>
      </c>
      <c r="I89" s="21">
        <v>14457.03</v>
      </c>
      <c r="J89" s="27">
        <f t="shared" si="5"/>
        <v>6.0650409157626428E-2</v>
      </c>
      <c r="K89" s="46">
        <v>0</v>
      </c>
      <c r="L89" s="47">
        <v>0</v>
      </c>
      <c r="M89" s="47">
        <v>24467.7</v>
      </c>
      <c r="N89" s="47">
        <v>3160.82</v>
      </c>
      <c r="O89" s="32">
        <f t="shared" si="6"/>
        <v>27628.52</v>
      </c>
      <c r="P89" s="35">
        <f t="shared" si="7"/>
        <v>0.13719867312887335</v>
      </c>
    </row>
    <row r="90" spans="1:16">
      <c r="A90" s="20" t="s">
        <v>24</v>
      </c>
      <c r="B90" s="29">
        <v>0.58760000000000001</v>
      </c>
      <c r="C90" s="29">
        <v>0.3014</v>
      </c>
      <c r="D90" s="29">
        <v>0.35</v>
      </c>
      <c r="E90" s="21">
        <v>46793.19</v>
      </c>
      <c r="F90" s="21">
        <v>406720</v>
      </c>
      <c r="G90" s="21">
        <f t="shared" si="8"/>
        <v>453513.19</v>
      </c>
      <c r="H90" s="21">
        <v>392221.27</v>
      </c>
      <c r="I90" s="21">
        <v>1066.92</v>
      </c>
      <c r="J90" s="27">
        <f t="shared" si="5"/>
        <v>2.3525666364852585E-3</v>
      </c>
      <c r="K90" s="46">
        <v>60225</v>
      </c>
      <c r="L90" s="47">
        <v>0</v>
      </c>
      <c r="M90" s="47">
        <v>65514.32</v>
      </c>
      <c r="N90" s="47">
        <v>0</v>
      </c>
      <c r="O90" s="32">
        <f t="shared" si="6"/>
        <v>65514.32</v>
      </c>
      <c r="P90" s="35">
        <f t="shared" si="7"/>
        <v>0.1610796616837136</v>
      </c>
    </row>
    <row r="91" spans="1:16">
      <c r="A91" s="20" t="s">
        <v>201</v>
      </c>
      <c r="B91" s="29">
        <v>0.49809999999999999</v>
      </c>
      <c r="C91" s="29">
        <v>2.4199999999999999E-2</v>
      </c>
      <c r="D91" s="29">
        <v>0.15</v>
      </c>
      <c r="E91" s="21">
        <v>16896.95</v>
      </c>
      <c r="F91" s="21">
        <v>233616</v>
      </c>
      <c r="G91" s="21">
        <f t="shared" si="8"/>
        <v>250512.95</v>
      </c>
      <c r="H91" s="21">
        <v>223345.46</v>
      </c>
      <c r="I91" s="21">
        <v>13573.56</v>
      </c>
      <c r="J91" s="27">
        <f t="shared" si="5"/>
        <v>5.4183067182754417E-2</v>
      </c>
      <c r="K91" s="46">
        <v>13593.93</v>
      </c>
      <c r="L91" s="47">
        <v>7806.69</v>
      </c>
      <c r="M91" s="47">
        <v>0</v>
      </c>
      <c r="N91" s="47">
        <v>8120.52</v>
      </c>
      <c r="O91" s="32">
        <f t="shared" si="6"/>
        <v>15927.21</v>
      </c>
      <c r="P91" s="35">
        <f t="shared" si="7"/>
        <v>6.8176880008218615E-2</v>
      </c>
    </row>
    <row r="92" spans="1:16">
      <c r="A92" s="20" t="s">
        <v>307</v>
      </c>
      <c r="B92" s="29">
        <v>0.62039999999999995</v>
      </c>
      <c r="C92" s="29">
        <v>0.31569999999999998</v>
      </c>
      <c r="D92" s="29">
        <v>0.25</v>
      </c>
      <c r="E92" s="21">
        <v>102381.18</v>
      </c>
      <c r="F92" s="21">
        <v>418128</v>
      </c>
      <c r="G92" s="21">
        <f t="shared" si="8"/>
        <v>520509.18</v>
      </c>
      <c r="H92" s="21">
        <v>469779.75</v>
      </c>
      <c r="I92" s="21">
        <v>50729.43</v>
      </c>
      <c r="J92" s="27">
        <f t="shared" si="5"/>
        <v>9.7461162932803602E-2</v>
      </c>
      <c r="K92" s="46">
        <v>0</v>
      </c>
      <c r="L92" s="47">
        <v>0</v>
      </c>
      <c r="M92" s="47">
        <v>26145.8</v>
      </c>
      <c r="N92" s="47">
        <v>0</v>
      </c>
      <c r="O92" s="32">
        <f t="shared" si="6"/>
        <v>26145.8</v>
      </c>
      <c r="P92" s="35">
        <f t="shared" si="7"/>
        <v>6.2530612635365246E-2</v>
      </c>
    </row>
    <row r="93" spans="1:16">
      <c r="A93" s="20" t="s">
        <v>26</v>
      </c>
      <c r="B93" s="29">
        <v>0.4531</v>
      </c>
      <c r="C93" s="29">
        <v>0.122</v>
      </c>
      <c r="D93" s="29">
        <v>0.28999999999999998</v>
      </c>
      <c r="E93" s="21">
        <v>11758.02</v>
      </c>
      <c r="F93" s="21">
        <v>384010</v>
      </c>
      <c r="G93" s="21">
        <f t="shared" si="8"/>
        <v>395768.02</v>
      </c>
      <c r="H93" s="21">
        <v>312683.45</v>
      </c>
      <c r="I93" s="21">
        <v>33084.57</v>
      </c>
      <c r="J93" s="27">
        <f t="shared" si="5"/>
        <v>8.3595865072675649E-2</v>
      </c>
      <c r="K93" s="46">
        <v>50000</v>
      </c>
      <c r="L93" s="47">
        <v>0</v>
      </c>
      <c r="M93" s="47">
        <v>0</v>
      </c>
      <c r="N93" s="47">
        <v>0</v>
      </c>
      <c r="O93" s="32">
        <f t="shared" si="6"/>
        <v>0</v>
      </c>
      <c r="P93" s="33">
        <f t="shared" si="7"/>
        <v>0</v>
      </c>
    </row>
    <row r="94" spans="1:16">
      <c r="A94" s="20" t="s">
        <v>60</v>
      </c>
      <c r="B94" s="29">
        <v>0.73209999999999997</v>
      </c>
      <c r="C94" s="29">
        <v>0.37530000000000002</v>
      </c>
      <c r="D94" s="29">
        <v>0.22</v>
      </c>
      <c r="E94" s="21">
        <v>83581.289999999994</v>
      </c>
      <c r="F94" s="21">
        <v>585277</v>
      </c>
      <c r="G94" s="21">
        <f t="shared" si="8"/>
        <v>668858.29</v>
      </c>
      <c r="H94" s="21">
        <v>631813.46</v>
      </c>
      <c r="I94" s="21">
        <v>37044.83</v>
      </c>
      <c r="J94" s="27">
        <f t="shared" si="5"/>
        <v>5.5385169854140555E-2</v>
      </c>
      <c r="K94" s="46">
        <v>0</v>
      </c>
      <c r="L94" s="47">
        <v>0</v>
      </c>
      <c r="M94" s="47">
        <v>72465.429999999993</v>
      </c>
      <c r="N94" s="47">
        <v>0</v>
      </c>
      <c r="O94" s="32">
        <f t="shared" si="6"/>
        <v>72465.429999999993</v>
      </c>
      <c r="P94" s="35">
        <f t="shared" si="7"/>
        <v>0.12381390350210242</v>
      </c>
    </row>
    <row r="95" spans="1:16">
      <c r="A95" s="20" t="s">
        <v>148</v>
      </c>
      <c r="B95" s="29">
        <v>0.36799999999999999</v>
      </c>
      <c r="C95" s="29">
        <v>4.9299999999999997E-2</v>
      </c>
      <c r="D95" s="29">
        <v>0.19</v>
      </c>
      <c r="E95" s="21">
        <v>35390.69</v>
      </c>
      <c r="F95" s="21">
        <v>527010</v>
      </c>
      <c r="G95" s="21">
        <f t="shared" si="8"/>
        <v>562400.68999999994</v>
      </c>
      <c r="H95" s="21">
        <v>606095.18000000005</v>
      </c>
      <c r="I95" s="21">
        <v>19010.32</v>
      </c>
      <c r="J95" s="27">
        <f t="shared" si="5"/>
        <v>3.3802092241387548E-2</v>
      </c>
      <c r="K95" s="46">
        <v>0</v>
      </c>
      <c r="L95" s="47">
        <v>0</v>
      </c>
      <c r="M95" s="47">
        <v>72422.67</v>
      </c>
      <c r="N95" s="47">
        <v>22576.16</v>
      </c>
      <c r="O95" s="32">
        <f t="shared" si="6"/>
        <v>94998.83</v>
      </c>
      <c r="P95" s="35">
        <f t="shared" si="7"/>
        <v>0.18026001404147929</v>
      </c>
    </row>
    <row r="96" spans="1:16">
      <c r="A96" s="20" t="s">
        <v>189</v>
      </c>
      <c r="B96" s="29">
        <v>0.4516</v>
      </c>
      <c r="C96" s="29">
        <v>3.6400000000000002E-2</v>
      </c>
      <c r="D96" s="29">
        <v>0.28999999999999998</v>
      </c>
      <c r="E96" s="21">
        <v>80710.2</v>
      </c>
      <c r="F96" s="21">
        <v>798560</v>
      </c>
      <c r="G96" s="21">
        <f t="shared" si="8"/>
        <v>879270.2</v>
      </c>
      <c r="H96" s="21">
        <v>930085.92</v>
      </c>
      <c r="I96" s="21">
        <v>33650.58</v>
      </c>
      <c r="J96" s="27">
        <f t="shared" si="5"/>
        <v>3.8271034319143311E-2</v>
      </c>
      <c r="K96" s="46">
        <v>0</v>
      </c>
      <c r="L96" s="47">
        <f>363697.56+58542.74</f>
        <v>422240.3</v>
      </c>
      <c r="M96" s="47">
        <v>208316.7</v>
      </c>
      <c r="N96" s="47">
        <v>0</v>
      </c>
      <c r="O96" s="32">
        <f t="shared" si="6"/>
        <v>630557</v>
      </c>
      <c r="P96" s="35">
        <f t="shared" si="7"/>
        <v>0.78961756161089958</v>
      </c>
    </row>
    <row r="97" spans="1:16">
      <c r="A97" s="20" t="s">
        <v>486</v>
      </c>
      <c r="B97" s="29">
        <v>0.50980000000000003</v>
      </c>
      <c r="C97" s="29">
        <v>0.11169999999999999</v>
      </c>
      <c r="D97" s="29">
        <v>0.18</v>
      </c>
      <c r="E97" s="21">
        <v>23231.040000000001</v>
      </c>
      <c r="F97" s="21">
        <v>225184</v>
      </c>
      <c r="G97" s="21">
        <f t="shared" si="8"/>
        <v>248415.04</v>
      </c>
      <c r="H97" s="21">
        <v>218164.36</v>
      </c>
      <c r="I97" s="21">
        <v>30250.68</v>
      </c>
      <c r="J97" s="27">
        <f t="shared" si="5"/>
        <v>0.12177475244655074</v>
      </c>
      <c r="K97" s="46">
        <v>0</v>
      </c>
      <c r="L97" s="47">
        <v>0</v>
      </c>
      <c r="M97" s="47">
        <v>40693.32</v>
      </c>
      <c r="N97" s="47">
        <v>3018.49</v>
      </c>
      <c r="O97" s="32">
        <f t="shared" si="6"/>
        <v>43711.81</v>
      </c>
      <c r="P97" s="35">
        <f t="shared" si="7"/>
        <v>0.19411596738667045</v>
      </c>
    </row>
    <row r="98" spans="1:16">
      <c r="A98" s="20" t="s">
        <v>440</v>
      </c>
      <c r="B98" s="29">
        <v>0.2797</v>
      </c>
      <c r="C98" s="29">
        <v>0.109</v>
      </c>
      <c r="D98" s="29">
        <v>0.21</v>
      </c>
      <c r="E98" s="21">
        <v>3906.59</v>
      </c>
      <c r="F98" s="21">
        <v>445904</v>
      </c>
      <c r="G98" s="21">
        <f t="shared" si="8"/>
        <v>449810.59</v>
      </c>
      <c r="H98" s="21">
        <v>320116.99</v>
      </c>
      <c r="I98" s="21">
        <v>10635.96</v>
      </c>
      <c r="J98" s="27">
        <f t="shared" si="5"/>
        <v>2.3645419286371178E-2</v>
      </c>
      <c r="K98" s="46">
        <v>119057.64</v>
      </c>
      <c r="L98" s="47">
        <v>0</v>
      </c>
      <c r="M98" s="47">
        <v>0</v>
      </c>
      <c r="N98" s="47">
        <v>0</v>
      </c>
      <c r="O98" s="32">
        <f t="shared" si="6"/>
        <v>0</v>
      </c>
      <c r="P98" s="33">
        <f t="shared" si="7"/>
        <v>0</v>
      </c>
    </row>
    <row r="99" spans="1:16">
      <c r="A99" s="20" t="s">
        <v>68</v>
      </c>
      <c r="B99" s="29">
        <v>0.70879999999999999</v>
      </c>
      <c r="C99" s="29">
        <v>0.03</v>
      </c>
      <c r="D99" s="29">
        <v>0.12</v>
      </c>
      <c r="E99" s="21">
        <v>7874.87</v>
      </c>
      <c r="F99" s="21">
        <v>578336</v>
      </c>
      <c r="G99" s="21">
        <f t="shared" si="8"/>
        <v>586210.87</v>
      </c>
      <c r="H99" s="21">
        <v>592960.01</v>
      </c>
      <c r="I99" s="21">
        <v>565.4</v>
      </c>
      <c r="J99" s="27">
        <f t="shared" si="5"/>
        <v>9.6449934474944141E-4</v>
      </c>
      <c r="K99" s="46">
        <v>69802.600000000006</v>
      </c>
      <c r="L99" s="47">
        <v>0</v>
      </c>
      <c r="M99" s="47">
        <v>54927.79</v>
      </c>
      <c r="N99" s="47">
        <v>0</v>
      </c>
      <c r="O99" s="32">
        <f t="shared" si="6"/>
        <v>54927.79</v>
      </c>
      <c r="P99" s="35">
        <f t="shared" si="7"/>
        <v>9.4975567835998448E-2</v>
      </c>
    </row>
    <row r="100" spans="1:16">
      <c r="A100" s="20" t="s">
        <v>150</v>
      </c>
      <c r="B100" s="29">
        <v>0.56579999999999997</v>
      </c>
      <c r="C100" s="29">
        <v>0.1159</v>
      </c>
      <c r="D100" s="29">
        <v>0.19</v>
      </c>
      <c r="E100" s="21">
        <v>42693.32</v>
      </c>
      <c r="F100" s="21">
        <v>123008</v>
      </c>
      <c r="G100" s="21">
        <f t="shared" si="8"/>
        <v>165701.32</v>
      </c>
      <c r="H100" s="21">
        <v>128460.19</v>
      </c>
      <c r="I100" s="21">
        <v>37241.129999999997</v>
      </c>
      <c r="J100" s="27">
        <f t="shared" si="5"/>
        <v>0.22474854153243917</v>
      </c>
      <c r="K100" s="46">
        <v>0</v>
      </c>
      <c r="L100" s="47">
        <v>0</v>
      </c>
      <c r="M100" s="47">
        <v>0</v>
      </c>
      <c r="N100" s="47">
        <v>6463.13</v>
      </c>
      <c r="O100" s="32">
        <f t="shared" si="6"/>
        <v>6463.13</v>
      </c>
      <c r="P100" s="35">
        <f t="shared" si="7"/>
        <v>5.2542354968782519E-2</v>
      </c>
    </row>
    <row r="101" spans="1:16">
      <c r="A101" s="20" t="s">
        <v>442</v>
      </c>
      <c r="B101" s="29">
        <v>0.4526</v>
      </c>
      <c r="C101" s="29">
        <v>7.6700000000000004E-2</v>
      </c>
      <c r="D101" s="29">
        <v>0.22</v>
      </c>
      <c r="E101" s="21">
        <v>3568.32</v>
      </c>
      <c r="F101" s="21">
        <v>131440</v>
      </c>
      <c r="G101" s="21">
        <f t="shared" si="8"/>
        <v>135008.32000000001</v>
      </c>
      <c r="H101" s="21">
        <v>133396.94</v>
      </c>
      <c r="I101" s="21">
        <v>1611.38</v>
      </c>
      <c r="J101" s="27">
        <f t="shared" si="5"/>
        <v>1.1935412573091792E-2</v>
      </c>
      <c r="K101" s="46">
        <v>0</v>
      </c>
      <c r="L101" s="47">
        <v>0</v>
      </c>
      <c r="M101" s="47">
        <v>0</v>
      </c>
      <c r="N101" s="47">
        <v>3649.5</v>
      </c>
      <c r="O101" s="32">
        <f t="shared" si="6"/>
        <v>3649.5</v>
      </c>
      <c r="P101" s="33">
        <f t="shared" si="7"/>
        <v>2.7765520389531347E-2</v>
      </c>
    </row>
    <row r="102" spans="1:16">
      <c r="A102" s="20" t="s">
        <v>12</v>
      </c>
      <c r="B102" s="29">
        <v>1</v>
      </c>
      <c r="C102" s="29">
        <v>0.3639</v>
      </c>
      <c r="D102" s="29">
        <v>0.17</v>
      </c>
      <c r="E102" s="21">
        <v>50048.68</v>
      </c>
      <c r="F102" s="21">
        <v>1504864</v>
      </c>
      <c r="G102" s="21">
        <f t="shared" si="8"/>
        <v>1554912.68</v>
      </c>
      <c r="H102" s="21">
        <v>1385684.36</v>
      </c>
      <c r="I102" s="21">
        <v>0</v>
      </c>
      <c r="J102" s="27">
        <f t="shared" si="5"/>
        <v>0</v>
      </c>
      <c r="K102" s="46">
        <v>170000</v>
      </c>
      <c r="L102" s="47">
        <v>0</v>
      </c>
      <c r="M102" s="47">
        <v>0</v>
      </c>
      <c r="N102" s="47">
        <f>218050.98+73103.92</f>
        <v>291154.90000000002</v>
      </c>
      <c r="O102" s="32">
        <f t="shared" si="6"/>
        <v>291154.90000000002</v>
      </c>
      <c r="P102" s="35">
        <f t="shared" si="7"/>
        <v>0.19347588885108558</v>
      </c>
    </row>
    <row r="103" spans="1:16">
      <c r="A103" s="20" t="s">
        <v>54</v>
      </c>
      <c r="B103" s="29">
        <v>0.56840000000000002</v>
      </c>
      <c r="C103" s="29">
        <v>0.33660000000000001</v>
      </c>
      <c r="D103" s="29">
        <v>0.37</v>
      </c>
      <c r="E103" s="21">
        <v>646.58000000000004</v>
      </c>
      <c r="F103" s="21">
        <v>184016</v>
      </c>
      <c r="G103" s="21">
        <f t="shared" si="8"/>
        <v>184662.58</v>
      </c>
      <c r="H103" s="21">
        <v>180807.03</v>
      </c>
      <c r="I103" s="21">
        <v>3855.55</v>
      </c>
      <c r="J103" s="27">
        <f t="shared" si="5"/>
        <v>2.0878891652006598E-2</v>
      </c>
      <c r="K103" s="46">
        <v>0</v>
      </c>
      <c r="L103" s="47">
        <v>0</v>
      </c>
      <c r="M103" s="47">
        <v>0</v>
      </c>
      <c r="N103" s="47">
        <v>0</v>
      </c>
      <c r="O103" s="32">
        <f t="shared" si="6"/>
        <v>0</v>
      </c>
      <c r="P103" s="33">
        <f t="shared" si="7"/>
        <v>0</v>
      </c>
    </row>
    <row r="104" spans="1:16" ht="27">
      <c r="A104" s="20" t="s">
        <v>335</v>
      </c>
      <c r="B104" s="29">
        <v>0.4178</v>
      </c>
      <c r="C104" s="29">
        <v>0.2697</v>
      </c>
      <c r="D104" s="29">
        <v>0.45</v>
      </c>
      <c r="E104" s="21">
        <v>9013.57</v>
      </c>
      <c r="F104" s="21">
        <v>178577</v>
      </c>
      <c r="G104" s="21">
        <f t="shared" si="8"/>
        <v>187590.57</v>
      </c>
      <c r="H104" s="21">
        <v>146126.70000000001</v>
      </c>
      <c r="I104" s="21">
        <v>51002.76</v>
      </c>
      <c r="J104" s="27">
        <f t="shared" si="5"/>
        <v>0.27188338944756124</v>
      </c>
      <c r="K104" s="46">
        <v>0</v>
      </c>
      <c r="L104" s="47">
        <v>0</v>
      </c>
      <c r="M104" s="47">
        <v>0</v>
      </c>
      <c r="N104" s="47">
        <v>0</v>
      </c>
      <c r="O104" s="32">
        <f t="shared" si="6"/>
        <v>0</v>
      </c>
      <c r="P104" s="35">
        <f t="shared" si="7"/>
        <v>0</v>
      </c>
    </row>
    <row r="105" spans="1:16" ht="27">
      <c r="A105" s="20" t="s">
        <v>335</v>
      </c>
      <c r="B105" s="29">
        <v>0.51529999999999998</v>
      </c>
      <c r="C105" s="29">
        <v>0.04</v>
      </c>
      <c r="D105" s="29">
        <v>0.24</v>
      </c>
      <c r="E105" s="21">
        <v>40113.79</v>
      </c>
      <c r="F105" s="21">
        <v>249984</v>
      </c>
      <c r="G105" s="21">
        <f t="shared" si="8"/>
        <v>290097.78999999998</v>
      </c>
      <c r="H105" s="21">
        <v>239095.03</v>
      </c>
      <c r="I105" s="21">
        <v>41463.870000000003</v>
      </c>
      <c r="J105" s="27">
        <f t="shared" si="5"/>
        <v>0.14293066486304498</v>
      </c>
      <c r="K105" s="46">
        <v>0</v>
      </c>
      <c r="L105" s="47">
        <v>17520.669999999998</v>
      </c>
      <c r="M105" s="47">
        <v>9496.35</v>
      </c>
      <c r="N105" s="47">
        <f>9764.57+18312.64</f>
        <v>28077.21</v>
      </c>
      <c r="O105" s="32">
        <f t="shared" si="6"/>
        <v>55094.229999999996</v>
      </c>
      <c r="P105" s="33">
        <f t="shared" si="7"/>
        <v>0.22039102502560162</v>
      </c>
    </row>
    <row r="106" spans="1:16">
      <c r="A106" s="20" t="s">
        <v>359</v>
      </c>
      <c r="B106" s="29">
        <v>0.752</v>
      </c>
      <c r="C106" s="29">
        <v>5.62E-2</v>
      </c>
      <c r="D106" s="29">
        <v>0.27</v>
      </c>
      <c r="E106" s="21">
        <v>24680.91</v>
      </c>
      <c r="F106" s="21">
        <v>531048</v>
      </c>
      <c r="G106" s="21">
        <f t="shared" si="8"/>
        <v>555728.91</v>
      </c>
      <c r="H106" s="21">
        <v>447458.85</v>
      </c>
      <c r="I106" s="21">
        <v>67044.06</v>
      </c>
      <c r="J106" s="27">
        <f t="shared" si="5"/>
        <v>0.12064166321669317</v>
      </c>
      <c r="K106" s="46">
        <v>41226</v>
      </c>
      <c r="L106" s="47">
        <v>0</v>
      </c>
      <c r="M106" s="47">
        <v>17756.653999999999</v>
      </c>
      <c r="N106" s="47">
        <v>35509.24</v>
      </c>
      <c r="O106" s="32">
        <f t="shared" si="6"/>
        <v>53265.894</v>
      </c>
      <c r="P106" s="35">
        <f t="shared" si="7"/>
        <v>0.10030335110950422</v>
      </c>
    </row>
    <row r="107" spans="1:16">
      <c r="A107" s="20" t="s">
        <v>42</v>
      </c>
      <c r="B107" s="29">
        <v>0.4819</v>
      </c>
      <c r="C107" s="29">
        <v>4.2500000000000003E-2</v>
      </c>
      <c r="D107" s="29">
        <v>0.11</v>
      </c>
      <c r="E107" s="21">
        <v>0</v>
      </c>
      <c r="F107" s="21">
        <v>634880</v>
      </c>
      <c r="G107" s="21">
        <f t="shared" si="8"/>
        <v>634880</v>
      </c>
      <c r="H107" s="21">
        <v>540594.31000000006</v>
      </c>
      <c r="I107" s="21">
        <v>0</v>
      </c>
      <c r="J107" s="27">
        <f t="shared" si="5"/>
        <v>0</v>
      </c>
      <c r="K107" s="46">
        <v>94284.69</v>
      </c>
      <c r="L107" s="47">
        <v>0</v>
      </c>
      <c r="M107" s="47">
        <v>86461.75</v>
      </c>
      <c r="N107" s="47">
        <v>8886.09</v>
      </c>
      <c r="O107" s="32">
        <f t="shared" si="6"/>
        <v>95347.839999999997</v>
      </c>
      <c r="P107" s="35">
        <f t="shared" si="7"/>
        <v>0.15018245967741936</v>
      </c>
    </row>
    <row r="108" spans="1:16">
      <c r="A108" s="20" t="s">
        <v>444</v>
      </c>
      <c r="B108" s="29">
        <v>0.6593</v>
      </c>
      <c r="C108" s="29">
        <v>0.13969999999999999</v>
      </c>
      <c r="D108" s="29">
        <v>0.27</v>
      </c>
      <c r="E108" s="21">
        <v>10080.780000000001</v>
      </c>
      <c r="F108" s="21">
        <v>118544</v>
      </c>
      <c r="G108" s="21">
        <f t="shared" si="8"/>
        <v>128624.78</v>
      </c>
      <c r="H108" s="21">
        <v>123667.09</v>
      </c>
      <c r="I108" s="21">
        <v>4957.6899999999996</v>
      </c>
      <c r="J108" s="27">
        <f t="shared" si="5"/>
        <v>3.8543817140056523E-2</v>
      </c>
      <c r="K108" s="46">
        <v>0</v>
      </c>
      <c r="L108" s="47">
        <v>0</v>
      </c>
      <c r="M108" s="47">
        <v>0</v>
      </c>
      <c r="N108" s="47">
        <v>3052.9</v>
      </c>
      <c r="O108" s="32">
        <f t="shared" si="6"/>
        <v>3052.9</v>
      </c>
      <c r="P108" s="33">
        <f t="shared" si="7"/>
        <v>2.5753306789040357E-2</v>
      </c>
    </row>
    <row r="109" spans="1:16">
      <c r="A109" s="20" t="s">
        <v>389</v>
      </c>
      <c r="B109" s="29">
        <v>0.65380000000000005</v>
      </c>
      <c r="C109" s="29">
        <v>0.32150000000000001</v>
      </c>
      <c r="D109" s="29">
        <v>0.35</v>
      </c>
      <c r="E109" s="21">
        <v>26540.13</v>
      </c>
      <c r="F109" s="21">
        <v>209312</v>
      </c>
      <c r="G109" s="21">
        <f t="shared" si="8"/>
        <v>235852.13</v>
      </c>
      <c r="H109" s="21">
        <v>185310.45</v>
      </c>
      <c r="I109" s="21">
        <v>50541.68</v>
      </c>
      <c r="J109" s="27">
        <f t="shared" si="5"/>
        <v>0.21429393069293035</v>
      </c>
      <c r="K109" s="46">
        <v>0</v>
      </c>
      <c r="L109" s="47">
        <v>37620.480000000003</v>
      </c>
      <c r="M109" s="47">
        <v>33329.94</v>
      </c>
      <c r="N109" s="47">
        <v>1815.33</v>
      </c>
      <c r="O109" s="32">
        <f t="shared" si="6"/>
        <v>72765.750000000015</v>
      </c>
      <c r="P109" s="35">
        <f t="shared" si="7"/>
        <v>0.34764251452377321</v>
      </c>
    </row>
    <row r="110" spans="1:16" ht="27">
      <c r="A110" s="20" t="s">
        <v>78</v>
      </c>
      <c r="B110" s="29">
        <v>0.48820000000000002</v>
      </c>
      <c r="C110" s="29">
        <v>6.3299999999999995E-2</v>
      </c>
      <c r="D110" s="29">
        <v>0.22</v>
      </c>
      <c r="E110" s="21">
        <v>9612.27</v>
      </c>
      <c r="F110" s="21">
        <v>430032</v>
      </c>
      <c r="G110" s="21">
        <f t="shared" si="8"/>
        <v>439644.27</v>
      </c>
      <c r="H110" s="21">
        <v>428569.02</v>
      </c>
      <c r="I110" s="21">
        <v>21075.25</v>
      </c>
      <c r="J110" s="27">
        <f t="shared" si="5"/>
        <v>4.7937051471181463E-2</v>
      </c>
      <c r="K110" s="46">
        <v>0</v>
      </c>
      <c r="L110" s="47">
        <v>0</v>
      </c>
      <c r="M110" s="47">
        <v>63076.92</v>
      </c>
      <c r="N110" s="47">
        <v>906.94</v>
      </c>
      <c r="O110" s="32">
        <f t="shared" si="6"/>
        <v>63983.86</v>
      </c>
      <c r="P110" s="35">
        <f t="shared" si="7"/>
        <v>0.14878860177847231</v>
      </c>
    </row>
    <row r="111" spans="1:16">
      <c r="A111" s="20" t="s">
        <v>381</v>
      </c>
      <c r="B111" s="29">
        <v>0.69810000000000005</v>
      </c>
      <c r="C111" s="29">
        <v>3.9800000000000002E-2</v>
      </c>
      <c r="D111" s="29">
        <v>7.0000000000000007E-2</v>
      </c>
      <c r="E111" s="21">
        <v>5854.44</v>
      </c>
      <c r="F111" s="21">
        <v>215264</v>
      </c>
      <c r="G111" s="21">
        <f t="shared" si="8"/>
        <v>221118.44</v>
      </c>
      <c r="H111" s="21">
        <v>184807.55</v>
      </c>
      <c r="I111" s="21">
        <v>26310.89</v>
      </c>
      <c r="J111" s="27">
        <f t="shared" si="5"/>
        <v>0.11899003086309762</v>
      </c>
      <c r="K111" s="46">
        <v>10000</v>
      </c>
      <c r="L111" s="47">
        <v>0</v>
      </c>
      <c r="M111" s="47">
        <v>0</v>
      </c>
      <c r="N111" s="47">
        <v>0</v>
      </c>
      <c r="O111" s="32">
        <f t="shared" si="6"/>
        <v>0</v>
      </c>
      <c r="P111" s="33">
        <f t="shared" si="7"/>
        <v>0</v>
      </c>
    </row>
    <row r="112" spans="1:16">
      <c r="A112" s="20" t="s">
        <v>345</v>
      </c>
      <c r="B112" s="29">
        <v>1</v>
      </c>
      <c r="C112" s="29">
        <v>0.95320000000000005</v>
      </c>
      <c r="D112" s="29">
        <v>0.45</v>
      </c>
      <c r="E112" s="21">
        <v>1240058.8400000001</v>
      </c>
      <c r="F112" s="21">
        <v>3688752</v>
      </c>
      <c r="G112" s="21">
        <f t="shared" si="8"/>
        <v>4928810.84</v>
      </c>
      <c r="H112" s="21">
        <v>3556685.75</v>
      </c>
      <c r="I112" s="21">
        <v>1372125.09</v>
      </c>
      <c r="J112" s="27">
        <f t="shared" si="5"/>
        <v>0.27838866910136889</v>
      </c>
      <c r="K112" s="46">
        <v>0</v>
      </c>
      <c r="L112" s="47">
        <v>42920.4</v>
      </c>
      <c r="M112" s="47">
        <v>102154.45</v>
      </c>
      <c r="N112" s="47">
        <f>245773.02+297944.99</f>
        <v>543718.01</v>
      </c>
      <c r="O112" s="32">
        <f t="shared" si="6"/>
        <v>688792.86</v>
      </c>
      <c r="P112" s="35">
        <f t="shared" si="7"/>
        <v>0.18672788520345093</v>
      </c>
    </row>
    <row r="113" spans="1:16">
      <c r="A113" s="20" t="s">
        <v>50</v>
      </c>
      <c r="B113" s="29">
        <v>0.745</v>
      </c>
      <c r="C113" s="29">
        <v>0.41899999999999998</v>
      </c>
      <c r="D113" s="29">
        <v>0.21</v>
      </c>
      <c r="E113" s="21">
        <v>9296.2900000000009</v>
      </c>
      <c r="F113" s="21">
        <v>371008</v>
      </c>
      <c r="G113" s="21">
        <f t="shared" si="8"/>
        <v>380304.29</v>
      </c>
      <c r="H113" s="21">
        <v>277935.44</v>
      </c>
      <c r="I113" s="21">
        <v>102368.85</v>
      </c>
      <c r="J113" s="27">
        <f t="shared" si="5"/>
        <v>0.26917616417106421</v>
      </c>
      <c r="K113" s="46">
        <v>0</v>
      </c>
      <c r="L113" s="47">
        <v>0</v>
      </c>
      <c r="M113" s="47">
        <v>380.63</v>
      </c>
      <c r="N113" s="47">
        <v>65475.18</v>
      </c>
      <c r="O113" s="32">
        <f t="shared" si="6"/>
        <v>65855.81</v>
      </c>
      <c r="P113" s="35">
        <f t="shared" si="7"/>
        <v>0.17750509422977401</v>
      </c>
    </row>
    <row r="114" spans="1:16">
      <c r="A114" s="20" t="s">
        <v>456</v>
      </c>
      <c r="B114" s="29">
        <v>0.59719999999999995</v>
      </c>
      <c r="C114" s="29">
        <v>3.3799999999999997E-2</v>
      </c>
      <c r="D114" s="29">
        <v>0.26</v>
      </c>
      <c r="E114" s="21">
        <v>12613.26</v>
      </c>
      <c r="F114" s="21">
        <v>465248</v>
      </c>
      <c r="G114" s="21">
        <f t="shared" ref="G114:G115" si="9">E114+F114</f>
        <v>477861.26</v>
      </c>
      <c r="H114" s="21">
        <v>390173.12</v>
      </c>
      <c r="I114" s="21">
        <v>18688.14</v>
      </c>
      <c r="J114" s="27">
        <f t="shared" si="5"/>
        <v>3.9107878299236891E-2</v>
      </c>
      <c r="K114" s="46">
        <v>69000</v>
      </c>
      <c r="L114" s="47">
        <v>0</v>
      </c>
      <c r="M114" s="47">
        <v>0</v>
      </c>
      <c r="N114" s="47">
        <f>39702.9+20323.53</f>
        <v>60026.43</v>
      </c>
      <c r="O114" s="32">
        <f t="shared" si="6"/>
        <v>60026.43</v>
      </c>
      <c r="P114" s="35">
        <f t="shared" si="7"/>
        <v>0.12902028595501755</v>
      </c>
    </row>
    <row r="115" spans="1:16">
      <c r="A115" s="20" t="s">
        <v>259</v>
      </c>
      <c r="B115" s="29">
        <v>0.66400000000000003</v>
      </c>
      <c r="C115" s="29">
        <v>9.1999999999999998E-3</v>
      </c>
      <c r="D115" s="29">
        <v>0.2</v>
      </c>
      <c r="E115" s="21">
        <v>24647.64</v>
      </c>
      <c r="F115" s="21">
        <v>135904</v>
      </c>
      <c r="G115" s="21">
        <f t="shared" si="9"/>
        <v>160551.64000000001</v>
      </c>
      <c r="H115" s="21">
        <v>111977.2</v>
      </c>
      <c r="I115" s="21">
        <v>36508.32</v>
      </c>
      <c r="J115" s="27">
        <f t="shared" si="5"/>
        <v>0.22739300576437585</v>
      </c>
      <c r="K115" s="46">
        <v>12066.12</v>
      </c>
      <c r="L115" s="47">
        <v>0</v>
      </c>
      <c r="M115" s="47">
        <v>16516.25</v>
      </c>
      <c r="N115" s="47">
        <v>5183.42</v>
      </c>
      <c r="O115" s="32">
        <f t="shared" si="6"/>
        <v>21699.67</v>
      </c>
      <c r="P115" s="35">
        <f t="shared" si="7"/>
        <v>0.15966910466211442</v>
      </c>
    </row>
    <row r="116" spans="1:16">
      <c r="A116" s="20" t="s">
        <v>243</v>
      </c>
      <c r="B116" s="29">
        <v>0.95499999999999996</v>
      </c>
      <c r="C116" s="29">
        <v>0.95</v>
      </c>
      <c r="D116" s="29" t="s">
        <v>536</v>
      </c>
      <c r="E116" s="21" t="s">
        <v>530</v>
      </c>
      <c r="F116" s="21">
        <v>104160</v>
      </c>
      <c r="G116" s="21">
        <v>104160</v>
      </c>
      <c r="H116" s="21">
        <v>0</v>
      </c>
      <c r="I116" s="21">
        <v>104160</v>
      </c>
      <c r="J116" s="27">
        <f t="shared" si="5"/>
        <v>1</v>
      </c>
      <c r="K116" s="46">
        <v>0</v>
      </c>
      <c r="L116" s="47">
        <v>0</v>
      </c>
      <c r="M116" s="47">
        <v>0</v>
      </c>
      <c r="N116" s="47">
        <v>0</v>
      </c>
      <c r="O116" s="32">
        <f t="shared" si="6"/>
        <v>0</v>
      </c>
      <c r="P116" s="33">
        <f t="shared" si="7"/>
        <v>0</v>
      </c>
    </row>
    <row r="117" spans="1:16">
      <c r="A117" s="20" t="s">
        <v>195</v>
      </c>
      <c r="B117" s="29">
        <v>0.76580000000000004</v>
      </c>
      <c r="C117" s="29">
        <v>0.73909999999999998</v>
      </c>
      <c r="D117" s="29">
        <v>0.48</v>
      </c>
      <c r="E117" s="21">
        <v>150882.1</v>
      </c>
      <c r="F117" s="21">
        <v>1920512</v>
      </c>
      <c r="G117" s="21">
        <f t="shared" ref="G117:G122" si="10">E117+F117</f>
        <v>2071394.1</v>
      </c>
      <c r="H117" s="21">
        <v>1768865.55</v>
      </c>
      <c r="I117" s="21">
        <v>0</v>
      </c>
      <c r="J117" s="27">
        <f t="shared" si="5"/>
        <v>0</v>
      </c>
      <c r="K117" s="46">
        <v>302528.55</v>
      </c>
      <c r="L117" s="47">
        <v>993.6</v>
      </c>
      <c r="M117" s="47">
        <v>56176</v>
      </c>
      <c r="N117" s="47">
        <f>132677.07+188766.59</f>
        <v>321443.66000000003</v>
      </c>
      <c r="O117" s="32">
        <f t="shared" si="6"/>
        <v>378613.26</v>
      </c>
      <c r="P117" s="35">
        <f t="shared" si="7"/>
        <v>0.19714183509397495</v>
      </c>
    </row>
    <row r="118" spans="1:16">
      <c r="A118" s="20" t="s">
        <v>452</v>
      </c>
      <c r="B118" s="29">
        <v>0.60760000000000003</v>
      </c>
      <c r="C118" s="29">
        <v>0.2848</v>
      </c>
      <c r="D118" s="29">
        <v>0.16</v>
      </c>
      <c r="E118" s="21">
        <v>14011.63</v>
      </c>
      <c r="F118" s="21">
        <v>252464</v>
      </c>
      <c r="G118" s="21">
        <f t="shared" si="10"/>
        <v>266475.63</v>
      </c>
      <c r="H118" s="21">
        <v>229577.57</v>
      </c>
      <c r="I118" s="21">
        <v>36898.06</v>
      </c>
      <c r="J118" s="27">
        <f t="shared" si="5"/>
        <v>0.13846692097134736</v>
      </c>
      <c r="K118" s="46">
        <v>0</v>
      </c>
      <c r="L118" s="47">
        <v>60756.12</v>
      </c>
      <c r="M118" s="47">
        <v>0</v>
      </c>
      <c r="N118" s="47">
        <v>2111.8000000000002</v>
      </c>
      <c r="O118" s="32">
        <f t="shared" si="6"/>
        <v>62867.920000000006</v>
      </c>
      <c r="P118" s="35">
        <f t="shared" si="7"/>
        <v>0.24901736485201853</v>
      </c>
    </row>
    <row r="119" spans="1:16">
      <c r="A119" s="20" t="s">
        <v>174</v>
      </c>
      <c r="B119" s="29">
        <v>0.75839999999999996</v>
      </c>
      <c r="C119" s="29">
        <v>0.54530000000000001</v>
      </c>
      <c r="D119" s="29">
        <v>0.42</v>
      </c>
      <c r="E119" s="21">
        <v>550875.56000000006</v>
      </c>
      <c r="F119" s="21">
        <v>2751808</v>
      </c>
      <c r="G119" s="21">
        <f t="shared" si="10"/>
        <v>3302683.56</v>
      </c>
      <c r="H119" s="21">
        <v>2563798.66</v>
      </c>
      <c r="I119" s="21">
        <v>97497.91</v>
      </c>
      <c r="J119" s="27">
        <f t="shared" si="5"/>
        <v>2.952081488545636E-2</v>
      </c>
      <c r="K119" s="46">
        <v>641386.99</v>
      </c>
      <c r="L119" s="47">
        <v>0</v>
      </c>
      <c r="M119" s="47">
        <v>151969.89000000001</v>
      </c>
      <c r="N119" s="47">
        <f>25307.77+52108.69</f>
        <v>77416.460000000006</v>
      </c>
      <c r="O119" s="32">
        <f t="shared" si="6"/>
        <v>229386.35000000003</v>
      </c>
      <c r="P119" s="35">
        <f t="shared" si="7"/>
        <v>8.3358413813754459E-2</v>
      </c>
    </row>
    <row r="120" spans="1:16">
      <c r="A120" s="20" t="s">
        <v>255</v>
      </c>
      <c r="B120" s="29">
        <v>0.68379999999999996</v>
      </c>
      <c r="C120" s="29">
        <v>2.69E-2</v>
      </c>
      <c r="D120" s="29">
        <v>0.18</v>
      </c>
      <c r="E120" s="21">
        <v>34380.58</v>
      </c>
      <c r="F120" s="21">
        <v>724160</v>
      </c>
      <c r="G120" s="21">
        <f t="shared" si="10"/>
        <v>758540.58</v>
      </c>
      <c r="H120" s="21">
        <v>645074.53</v>
      </c>
      <c r="I120" s="21">
        <v>113466.05</v>
      </c>
      <c r="J120" s="27">
        <f t="shared" si="5"/>
        <v>0.14958468009714129</v>
      </c>
      <c r="K120" s="46">
        <v>0</v>
      </c>
      <c r="L120" s="47">
        <v>14027.69</v>
      </c>
      <c r="M120" s="47">
        <v>0</v>
      </c>
      <c r="N120" s="47">
        <v>1656.53</v>
      </c>
      <c r="O120" s="32">
        <f t="shared" si="6"/>
        <v>15684.220000000001</v>
      </c>
      <c r="P120" s="35">
        <f t="shared" si="7"/>
        <v>2.1658500883782589E-2</v>
      </c>
    </row>
    <row r="121" spans="1:16">
      <c r="A121" s="20" t="s">
        <v>421</v>
      </c>
      <c r="B121" s="29">
        <v>1</v>
      </c>
      <c r="C121" s="29">
        <v>0.84250000000000003</v>
      </c>
      <c r="D121" s="29">
        <v>0.31</v>
      </c>
      <c r="E121" s="21">
        <v>279841.37</v>
      </c>
      <c r="F121" s="21">
        <v>411680</v>
      </c>
      <c r="G121" s="21">
        <f t="shared" si="10"/>
        <v>691521.37</v>
      </c>
      <c r="H121" s="21">
        <v>600076.48</v>
      </c>
      <c r="I121" s="21">
        <v>91444.89</v>
      </c>
      <c r="J121" s="27">
        <f t="shared" si="5"/>
        <v>0.13223725826433969</v>
      </c>
      <c r="K121" s="46">
        <v>0</v>
      </c>
      <c r="L121" s="47">
        <v>0</v>
      </c>
      <c r="M121" s="47">
        <v>34214.68</v>
      </c>
      <c r="N121" s="47">
        <f>53097.56+76533.35</f>
        <v>129630.91</v>
      </c>
      <c r="O121" s="32">
        <f t="shared" si="6"/>
        <v>163845.59</v>
      </c>
      <c r="P121" s="35">
        <f t="shared" si="7"/>
        <v>0.39799259133307424</v>
      </c>
    </row>
    <row r="122" spans="1:16">
      <c r="A122" s="20" t="s">
        <v>289</v>
      </c>
      <c r="B122" s="29">
        <v>0.54620000000000002</v>
      </c>
      <c r="C122" s="29">
        <v>0.1009</v>
      </c>
      <c r="D122" s="29">
        <v>0.31</v>
      </c>
      <c r="E122" s="21">
        <v>76480.13</v>
      </c>
      <c r="F122" s="21">
        <v>661664</v>
      </c>
      <c r="G122" s="21">
        <f t="shared" si="10"/>
        <v>738144.13</v>
      </c>
      <c r="H122" s="21">
        <v>619665.34</v>
      </c>
      <c r="I122" s="21">
        <v>118478.79</v>
      </c>
      <c r="J122" s="27">
        <f t="shared" si="5"/>
        <v>0.16050901874678594</v>
      </c>
      <c r="K122" s="46">
        <v>0</v>
      </c>
      <c r="L122" s="47">
        <v>5000</v>
      </c>
      <c r="M122" s="47">
        <v>82683.31</v>
      </c>
      <c r="N122" s="47">
        <v>0</v>
      </c>
      <c r="O122" s="32">
        <f t="shared" si="6"/>
        <v>87683.31</v>
      </c>
      <c r="P122" s="35">
        <f t="shared" si="7"/>
        <v>0.13251939050635972</v>
      </c>
    </row>
    <row r="123" spans="1:16">
      <c r="A123" s="20" t="s">
        <v>263</v>
      </c>
      <c r="B123" s="29">
        <v>0.78720000000000001</v>
      </c>
      <c r="C123" s="29">
        <v>5.8000000000000003E-2</v>
      </c>
      <c r="D123" s="29">
        <v>0.36</v>
      </c>
      <c r="E123" s="21" t="s">
        <v>530</v>
      </c>
      <c r="F123" s="21">
        <v>48039</v>
      </c>
      <c r="G123" s="21">
        <v>48039</v>
      </c>
      <c r="H123" s="21">
        <v>30152.32</v>
      </c>
      <c r="I123" s="21">
        <v>17886.68</v>
      </c>
      <c r="J123" s="27">
        <f t="shared" si="5"/>
        <v>0.37233664314411208</v>
      </c>
      <c r="K123" s="46">
        <v>0</v>
      </c>
      <c r="L123" s="47">
        <v>0</v>
      </c>
      <c r="M123" s="47">
        <v>0</v>
      </c>
      <c r="N123" s="47">
        <v>0</v>
      </c>
      <c r="O123" s="32">
        <f t="shared" si="6"/>
        <v>0</v>
      </c>
      <c r="P123" s="33">
        <f t="shared" si="7"/>
        <v>0</v>
      </c>
    </row>
    <row r="124" spans="1:16">
      <c r="A124" s="20" t="s">
        <v>229</v>
      </c>
      <c r="B124" s="29">
        <v>0.72389999999999999</v>
      </c>
      <c r="C124" s="29">
        <v>5.6500000000000002E-2</v>
      </c>
      <c r="D124" s="29">
        <v>0.28000000000000003</v>
      </c>
      <c r="E124" s="21">
        <v>29882.44</v>
      </c>
      <c r="F124" s="21">
        <v>378944</v>
      </c>
      <c r="G124" s="21">
        <f t="shared" ref="G124:G155" si="11">E124+F124</f>
        <v>408826.44</v>
      </c>
      <c r="H124" s="21">
        <v>406230.93</v>
      </c>
      <c r="I124" s="21">
        <v>2595.5100000000002</v>
      </c>
      <c r="J124" s="27">
        <f t="shared" si="5"/>
        <v>6.3486842974246E-3</v>
      </c>
      <c r="K124" s="46">
        <v>0</v>
      </c>
      <c r="L124" s="47">
        <v>5445.25</v>
      </c>
      <c r="M124" s="47">
        <v>8719.91</v>
      </c>
      <c r="N124" s="47">
        <v>0</v>
      </c>
      <c r="O124" s="32">
        <f t="shared" si="6"/>
        <v>14165.16</v>
      </c>
      <c r="P124" s="35">
        <f t="shared" si="7"/>
        <v>3.7380615605472046E-2</v>
      </c>
    </row>
    <row r="125" spans="1:16">
      <c r="A125" s="20" t="s">
        <v>233</v>
      </c>
      <c r="B125" s="29">
        <v>0.64239999999999997</v>
      </c>
      <c r="C125" s="29">
        <v>4.8500000000000001E-2</v>
      </c>
      <c r="D125" s="29">
        <v>0.1</v>
      </c>
      <c r="E125" s="21">
        <v>17567.63</v>
      </c>
      <c r="F125" s="21">
        <v>275776</v>
      </c>
      <c r="G125" s="21">
        <f t="shared" si="11"/>
        <v>293343.63</v>
      </c>
      <c r="H125" s="21">
        <v>312224.96999999997</v>
      </c>
      <c r="I125" s="21">
        <v>11118.66</v>
      </c>
      <c r="J125" s="27">
        <f t="shared" si="5"/>
        <v>3.7903192239081514E-2</v>
      </c>
      <c r="K125" s="46">
        <v>0</v>
      </c>
      <c r="L125" s="47">
        <v>13987.84</v>
      </c>
      <c r="M125" s="47">
        <v>26078.36</v>
      </c>
      <c r="N125" s="47">
        <v>0</v>
      </c>
      <c r="O125" s="32">
        <f t="shared" si="6"/>
        <v>40066.199999999997</v>
      </c>
      <c r="P125" s="35">
        <f t="shared" si="7"/>
        <v>0.14528530401485262</v>
      </c>
    </row>
    <row r="126" spans="1:16">
      <c r="A126" s="20" t="s">
        <v>327</v>
      </c>
      <c r="B126" s="29">
        <v>0.63539999999999996</v>
      </c>
      <c r="C126" s="29">
        <v>2.23E-2</v>
      </c>
      <c r="D126" s="29">
        <v>0.24</v>
      </c>
      <c r="E126" s="21">
        <v>13518.42</v>
      </c>
      <c r="F126" s="21">
        <v>257920</v>
      </c>
      <c r="G126" s="21">
        <f t="shared" si="11"/>
        <v>271438.42</v>
      </c>
      <c r="H126" s="21">
        <v>271438.42</v>
      </c>
      <c r="I126" s="21">
        <v>0</v>
      </c>
      <c r="J126" s="27">
        <f t="shared" si="5"/>
        <v>0</v>
      </c>
      <c r="K126" s="46">
        <v>0</v>
      </c>
      <c r="L126" s="47">
        <v>0</v>
      </c>
      <c r="M126" s="47">
        <v>20149.03</v>
      </c>
      <c r="N126" s="47">
        <v>0</v>
      </c>
      <c r="O126" s="32">
        <f t="shared" si="6"/>
        <v>20149.03</v>
      </c>
      <c r="P126" s="35">
        <f t="shared" si="7"/>
        <v>7.8121239143920593E-2</v>
      </c>
    </row>
    <row r="127" spans="1:16">
      <c r="A127" s="20" t="s">
        <v>176</v>
      </c>
      <c r="B127" s="29">
        <v>0.54220000000000002</v>
      </c>
      <c r="C127" s="29">
        <v>9.1399999999999995E-2</v>
      </c>
      <c r="D127" s="29">
        <v>0.22</v>
      </c>
      <c r="E127" s="21">
        <v>2994.01</v>
      </c>
      <c r="F127" s="21">
        <v>221216</v>
      </c>
      <c r="G127" s="21">
        <f t="shared" si="11"/>
        <v>224210.01</v>
      </c>
      <c r="H127" s="21">
        <v>213995.51999999999</v>
      </c>
      <c r="I127" s="21">
        <v>10214.49</v>
      </c>
      <c r="J127" s="27">
        <f t="shared" si="5"/>
        <v>4.5557689418059433E-2</v>
      </c>
      <c r="K127" s="46">
        <v>0</v>
      </c>
      <c r="L127" s="47">
        <v>0</v>
      </c>
      <c r="M127" s="47">
        <v>0</v>
      </c>
      <c r="N127" s="47">
        <v>0</v>
      </c>
      <c r="O127" s="32">
        <f t="shared" si="6"/>
        <v>0</v>
      </c>
      <c r="P127" s="33">
        <f t="shared" si="7"/>
        <v>0</v>
      </c>
    </row>
    <row r="128" spans="1:16">
      <c r="A128" s="20" t="s">
        <v>106</v>
      </c>
      <c r="B128" s="29">
        <v>0.67510000000000003</v>
      </c>
      <c r="C128" s="29">
        <v>0.52969999999999995</v>
      </c>
      <c r="D128" s="29">
        <v>0.41</v>
      </c>
      <c r="E128" s="21">
        <v>37701.81</v>
      </c>
      <c r="F128" s="21">
        <v>1670898</v>
      </c>
      <c r="G128" s="21">
        <f t="shared" si="11"/>
        <v>1708599.81</v>
      </c>
      <c r="H128" s="21">
        <v>693479.03</v>
      </c>
      <c r="I128" s="21">
        <v>122316.58</v>
      </c>
      <c r="J128" s="27">
        <f t="shared" si="5"/>
        <v>7.1588782396036901E-2</v>
      </c>
      <c r="K128" s="46">
        <v>892804.2</v>
      </c>
      <c r="L128" s="47">
        <f>497709.38+89075.34</f>
        <v>586784.72</v>
      </c>
      <c r="M128" s="47">
        <v>0</v>
      </c>
      <c r="N128" s="47">
        <v>0</v>
      </c>
      <c r="O128" s="32">
        <f t="shared" si="6"/>
        <v>586784.72</v>
      </c>
      <c r="P128" s="35">
        <f t="shared" si="7"/>
        <v>0.35117925809953687</v>
      </c>
    </row>
    <row r="129" spans="1:16">
      <c r="A129" s="20" t="s">
        <v>464</v>
      </c>
      <c r="B129" s="29">
        <v>0.50260000000000005</v>
      </c>
      <c r="C129" s="29">
        <v>0.34179999999999999</v>
      </c>
      <c r="D129" s="29">
        <v>0.22</v>
      </c>
      <c r="E129" s="21">
        <v>23615.119999999999</v>
      </c>
      <c r="F129" s="21">
        <v>140864</v>
      </c>
      <c r="G129" s="21">
        <f t="shared" si="11"/>
        <v>164479.12</v>
      </c>
      <c r="H129" s="21">
        <v>160505.38</v>
      </c>
      <c r="I129" s="21">
        <v>3973.74</v>
      </c>
      <c r="J129" s="27">
        <f t="shared" si="5"/>
        <v>2.4159540736842462E-2</v>
      </c>
      <c r="K129" s="46">
        <v>0</v>
      </c>
      <c r="L129" s="47">
        <v>0</v>
      </c>
      <c r="M129" s="47">
        <v>0</v>
      </c>
      <c r="N129" s="47">
        <v>0</v>
      </c>
      <c r="O129" s="32">
        <f t="shared" si="6"/>
        <v>0</v>
      </c>
      <c r="P129" s="33">
        <f t="shared" si="7"/>
        <v>0</v>
      </c>
    </row>
    <row r="130" spans="1:16" ht="27">
      <c r="A130" s="20" t="s">
        <v>349</v>
      </c>
      <c r="B130" s="29">
        <v>0.88119999999999998</v>
      </c>
      <c r="C130" s="29">
        <v>0.97909999999999997</v>
      </c>
      <c r="D130" s="29" t="s">
        <v>536</v>
      </c>
      <c r="E130" s="21">
        <v>355998.01</v>
      </c>
      <c r="F130" s="21">
        <v>310117</v>
      </c>
      <c r="G130" s="21">
        <f t="shared" si="11"/>
        <v>666115.01</v>
      </c>
      <c r="H130" s="21">
        <v>350548.32</v>
      </c>
      <c r="I130" s="21">
        <v>315566.69</v>
      </c>
      <c r="J130" s="27">
        <f t="shared" ref="J130:J193" si="12">I130/G130</f>
        <v>0.47374204943978065</v>
      </c>
      <c r="K130" s="46">
        <v>0</v>
      </c>
      <c r="L130" s="47">
        <v>0</v>
      </c>
      <c r="M130" s="47">
        <v>0</v>
      </c>
      <c r="N130" s="47">
        <v>264997.75</v>
      </c>
      <c r="O130" s="32">
        <f t="shared" ref="O130:O193" si="13">SUM(L130:N130)</f>
        <v>264997.75</v>
      </c>
      <c r="P130" s="35">
        <f t="shared" ref="P130:P193" si="14">O130/F130</f>
        <v>0.8545089433987817</v>
      </c>
    </row>
    <row r="131" spans="1:16">
      <c r="A131" s="20" t="s">
        <v>355</v>
      </c>
      <c r="B131" s="29">
        <v>0.62060000000000004</v>
      </c>
      <c r="C131" s="29">
        <v>6.9000000000000006E-2</v>
      </c>
      <c r="D131" s="29">
        <v>0.21</v>
      </c>
      <c r="E131" s="21">
        <v>6830.08</v>
      </c>
      <c r="F131" s="21">
        <v>128960</v>
      </c>
      <c r="G131" s="21">
        <f t="shared" si="11"/>
        <v>135790.07999999999</v>
      </c>
      <c r="H131" s="21">
        <v>113986.53</v>
      </c>
      <c r="I131" s="21">
        <v>21803.55</v>
      </c>
      <c r="J131" s="27">
        <f t="shared" si="12"/>
        <v>0.1605680621146994</v>
      </c>
      <c r="K131" s="46">
        <v>0</v>
      </c>
      <c r="L131" s="47">
        <v>0</v>
      </c>
      <c r="M131" s="47">
        <v>7248.15</v>
      </c>
      <c r="N131" s="47">
        <v>0</v>
      </c>
      <c r="O131" s="32">
        <f t="shared" si="13"/>
        <v>7248.15</v>
      </c>
      <c r="P131" s="35">
        <f t="shared" si="14"/>
        <v>5.6204637096774188E-2</v>
      </c>
    </row>
    <row r="132" spans="1:16" ht="27">
      <c r="A132" s="20" t="s">
        <v>253</v>
      </c>
      <c r="B132" s="29">
        <v>0.79510000000000003</v>
      </c>
      <c r="C132" s="29">
        <v>0.65039999999999998</v>
      </c>
      <c r="D132" s="29">
        <v>0.46</v>
      </c>
      <c r="E132" s="21">
        <v>367744.2</v>
      </c>
      <c r="F132" s="21">
        <v>674560</v>
      </c>
      <c r="G132" s="21">
        <f t="shared" si="11"/>
        <v>1042304.2</v>
      </c>
      <c r="H132" s="21">
        <v>629087.15</v>
      </c>
      <c r="I132" s="21">
        <v>363242.8</v>
      </c>
      <c r="J132" s="27">
        <f t="shared" si="12"/>
        <v>0.34849979497348277</v>
      </c>
      <c r="K132" s="46">
        <v>49974.25</v>
      </c>
      <c r="L132" s="47">
        <v>0</v>
      </c>
      <c r="M132" s="47">
        <v>20175.34</v>
      </c>
      <c r="N132" s="47">
        <f>10802.52+8741.36</f>
        <v>19543.88</v>
      </c>
      <c r="O132" s="32">
        <f t="shared" si="13"/>
        <v>39719.22</v>
      </c>
      <c r="P132" s="35">
        <f t="shared" si="14"/>
        <v>5.888167101518027E-2</v>
      </c>
    </row>
    <row r="133" spans="1:16">
      <c r="A133" s="20" t="s">
        <v>178</v>
      </c>
      <c r="B133" s="29">
        <v>0.49270000000000003</v>
      </c>
      <c r="C133" s="29">
        <v>0.1449</v>
      </c>
      <c r="D133" s="29">
        <v>0.18</v>
      </c>
      <c r="E133" s="21">
        <v>188143.32</v>
      </c>
      <c r="F133" s="21">
        <v>913632</v>
      </c>
      <c r="G133" s="21">
        <f t="shared" si="11"/>
        <v>1101775.32</v>
      </c>
      <c r="H133" s="21">
        <v>908541.88</v>
      </c>
      <c r="I133" s="21">
        <v>199233.44</v>
      </c>
      <c r="J133" s="27">
        <f t="shared" si="12"/>
        <v>0.18082946348807305</v>
      </c>
      <c r="K133" s="46">
        <v>0</v>
      </c>
      <c r="L133" s="47">
        <v>37088.65</v>
      </c>
      <c r="M133" s="47">
        <v>157350.59</v>
      </c>
      <c r="N133" s="47">
        <v>36958.39</v>
      </c>
      <c r="O133" s="32">
        <f t="shared" si="13"/>
        <v>231397.63</v>
      </c>
      <c r="P133" s="35">
        <f t="shared" si="14"/>
        <v>0.25327224746944066</v>
      </c>
    </row>
    <row r="134" spans="1:16">
      <c r="A134" s="20" t="s">
        <v>64</v>
      </c>
      <c r="B134" s="29">
        <v>0.34489999999999998</v>
      </c>
      <c r="C134" s="29">
        <v>0.186</v>
      </c>
      <c r="D134" s="29">
        <v>0.35</v>
      </c>
      <c r="E134" s="21">
        <v>0</v>
      </c>
      <c r="F134" s="21">
        <v>460949</v>
      </c>
      <c r="G134" s="21">
        <f t="shared" si="11"/>
        <v>460949</v>
      </c>
      <c r="H134" s="21">
        <v>461402.97</v>
      </c>
      <c r="I134" s="21">
        <v>0</v>
      </c>
      <c r="J134" s="27">
        <f t="shared" si="12"/>
        <v>0</v>
      </c>
      <c r="K134" s="46">
        <v>8223.5</v>
      </c>
      <c r="L134" s="47">
        <v>0</v>
      </c>
      <c r="M134" s="47">
        <f>5059+46006.19</f>
        <v>51065.19</v>
      </c>
      <c r="N134" s="47">
        <f>24971.56+11368.38</f>
        <v>36339.94</v>
      </c>
      <c r="O134" s="32">
        <f t="shared" si="13"/>
        <v>87405.13</v>
      </c>
      <c r="P134" s="35">
        <f t="shared" si="14"/>
        <v>0.18961995795630321</v>
      </c>
    </row>
    <row r="135" spans="1:16">
      <c r="A135" s="20" t="s">
        <v>64</v>
      </c>
      <c r="B135" s="29">
        <v>0.91879999999999995</v>
      </c>
      <c r="C135" s="29">
        <v>0.86580000000000001</v>
      </c>
      <c r="D135" s="29">
        <v>0.16</v>
      </c>
      <c r="E135" s="21">
        <v>1615760.96</v>
      </c>
      <c r="F135" s="21">
        <v>1012832</v>
      </c>
      <c r="G135" s="21">
        <f t="shared" si="11"/>
        <v>2628592.96</v>
      </c>
      <c r="H135" s="21">
        <v>990358.56</v>
      </c>
      <c r="I135" s="21">
        <v>1630010.9</v>
      </c>
      <c r="J135" s="27">
        <f t="shared" si="12"/>
        <v>0.62010776289989</v>
      </c>
      <c r="K135" s="46">
        <v>0</v>
      </c>
      <c r="L135" s="47">
        <v>0</v>
      </c>
      <c r="M135" s="47">
        <v>40185.629999999997</v>
      </c>
      <c r="N135" s="47">
        <v>18227.03</v>
      </c>
      <c r="O135" s="32">
        <f t="shared" si="13"/>
        <v>58412.659999999996</v>
      </c>
      <c r="P135" s="35">
        <f t="shared" si="14"/>
        <v>5.7672605130959523E-2</v>
      </c>
    </row>
    <row r="136" spans="1:16">
      <c r="A136" s="20" t="s">
        <v>247</v>
      </c>
      <c r="B136" s="29">
        <v>0.58640000000000003</v>
      </c>
      <c r="C136" s="29">
        <v>5.9700000000000003E-2</v>
      </c>
      <c r="D136" s="29">
        <v>0.28999999999999998</v>
      </c>
      <c r="E136" s="21">
        <v>70977.509999999995</v>
      </c>
      <c r="F136" s="21">
        <v>316944</v>
      </c>
      <c r="G136" s="21">
        <f t="shared" si="11"/>
        <v>387921.51</v>
      </c>
      <c r="H136" s="21">
        <v>361510</v>
      </c>
      <c r="I136" s="21">
        <v>26411.51</v>
      </c>
      <c r="J136" s="27">
        <f t="shared" si="12"/>
        <v>6.8084675170500333E-2</v>
      </c>
      <c r="K136" s="46">
        <v>0</v>
      </c>
      <c r="L136" s="47">
        <v>0</v>
      </c>
      <c r="M136" s="47">
        <v>24688.639999999999</v>
      </c>
      <c r="N136" s="47">
        <v>14976.91</v>
      </c>
      <c r="O136" s="32">
        <f t="shared" si="13"/>
        <v>39665.550000000003</v>
      </c>
      <c r="P136" s="35">
        <f t="shared" si="14"/>
        <v>0.12515002650310467</v>
      </c>
    </row>
    <row r="137" spans="1:16">
      <c r="A137" s="20" t="s">
        <v>446</v>
      </c>
      <c r="B137" s="29">
        <v>0.42249999999999999</v>
      </c>
      <c r="C137" s="29">
        <v>8.2299999999999998E-2</v>
      </c>
      <c r="D137" s="29">
        <v>0.17</v>
      </c>
      <c r="E137" s="21">
        <v>8129.51</v>
      </c>
      <c r="F137" s="21">
        <v>180544</v>
      </c>
      <c r="G137" s="21">
        <f t="shared" si="11"/>
        <v>188673.51</v>
      </c>
      <c r="H137" s="21">
        <v>169595.74</v>
      </c>
      <c r="I137" s="21">
        <v>19077.77</v>
      </c>
      <c r="J137" s="27">
        <f t="shared" si="12"/>
        <v>0.10111525460039408</v>
      </c>
      <c r="K137" s="46">
        <v>0</v>
      </c>
      <c r="L137" s="47">
        <v>0</v>
      </c>
      <c r="M137" s="47">
        <v>0</v>
      </c>
      <c r="N137" s="47">
        <v>0</v>
      </c>
      <c r="O137" s="32">
        <f t="shared" si="13"/>
        <v>0</v>
      </c>
      <c r="P137" s="33">
        <f t="shared" si="14"/>
        <v>0</v>
      </c>
    </row>
    <row r="138" spans="1:16" ht="27">
      <c r="A138" s="20" t="s">
        <v>261</v>
      </c>
      <c r="B138" s="29">
        <v>0.59</v>
      </c>
      <c r="C138" s="29">
        <v>3.3399999999999999E-2</v>
      </c>
      <c r="D138" s="29">
        <v>0.23</v>
      </c>
      <c r="E138" s="21">
        <v>54071.48</v>
      </c>
      <c r="F138" s="21">
        <v>309504</v>
      </c>
      <c r="G138" s="21">
        <f t="shared" si="11"/>
        <v>363575.48</v>
      </c>
      <c r="H138" s="21">
        <v>351959.09</v>
      </c>
      <c r="I138" s="21">
        <v>11616.39</v>
      </c>
      <c r="J138" s="27">
        <f t="shared" si="12"/>
        <v>3.1950421959148621E-2</v>
      </c>
      <c r="K138" s="46">
        <v>0</v>
      </c>
      <c r="L138" s="47">
        <v>0</v>
      </c>
      <c r="M138" s="47">
        <v>0</v>
      </c>
      <c r="N138" s="47">
        <v>0</v>
      </c>
      <c r="O138" s="32">
        <f t="shared" si="13"/>
        <v>0</v>
      </c>
      <c r="P138" s="33">
        <f t="shared" si="14"/>
        <v>0</v>
      </c>
    </row>
    <row r="139" spans="1:16">
      <c r="A139" s="20" t="s">
        <v>48</v>
      </c>
      <c r="B139" s="29">
        <v>0.72140000000000004</v>
      </c>
      <c r="C139" s="29">
        <v>1.6199999999999999E-2</v>
      </c>
      <c r="D139" s="29">
        <v>0.44</v>
      </c>
      <c r="E139" s="21">
        <v>8043.83</v>
      </c>
      <c r="F139" s="21">
        <v>267840</v>
      </c>
      <c r="G139" s="21">
        <f t="shared" si="11"/>
        <v>275883.83</v>
      </c>
      <c r="H139" s="21">
        <v>233434.93</v>
      </c>
      <c r="I139" s="21">
        <v>42448.9</v>
      </c>
      <c r="J139" s="27">
        <f t="shared" si="12"/>
        <v>0.15386512504194247</v>
      </c>
      <c r="K139" s="46">
        <v>0</v>
      </c>
      <c r="L139" s="47">
        <v>20885.21</v>
      </c>
      <c r="M139" s="47">
        <v>9994.77</v>
      </c>
      <c r="N139" s="47">
        <v>15304.21</v>
      </c>
      <c r="O139" s="32">
        <f t="shared" si="13"/>
        <v>46184.19</v>
      </c>
      <c r="P139" s="35">
        <f t="shared" si="14"/>
        <v>0.17243201164874553</v>
      </c>
    </row>
    <row r="140" spans="1:16">
      <c r="A140" s="20" t="s">
        <v>265</v>
      </c>
      <c r="B140" s="29">
        <v>0.99839999999999995</v>
      </c>
      <c r="C140" s="29">
        <v>0.94799999999999995</v>
      </c>
      <c r="D140" s="29">
        <v>0.65</v>
      </c>
      <c r="E140" s="21">
        <v>464217.25</v>
      </c>
      <c r="F140" s="21">
        <v>1784112</v>
      </c>
      <c r="G140" s="21">
        <f t="shared" si="11"/>
        <v>2248329.25</v>
      </c>
      <c r="H140" s="21">
        <v>1931667.47</v>
      </c>
      <c r="I140" s="21">
        <v>170273.78</v>
      </c>
      <c r="J140" s="27">
        <f t="shared" si="12"/>
        <v>7.5733471865831042E-2</v>
      </c>
      <c r="K140" s="46">
        <v>146388</v>
      </c>
      <c r="L140" s="47">
        <f>0</f>
        <v>0</v>
      </c>
      <c r="M140" s="47">
        <v>0</v>
      </c>
      <c r="N140" s="47">
        <f>288867.44+63455.52</f>
        <v>352322.96</v>
      </c>
      <c r="O140" s="32">
        <f t="shared" si="13"/>
        <v>352322.96</v>
      </c>
      <c r="P140" s="35">
        <f t="shared" si="14"/>
        <v>0.19747805070533689</v>
      </c>
    </row>
    <row r="141" spans="1:16">
      <c r="A141" s="20" t="s">
        <v>488</v>
      </c>
      <c r="B141" s="29">
        <v>0.66930000000000001</v>
      </c>
      <c r="C141" s="29">
        <v>0.17419999999999999</v>
      </c>
      <c r="D141" s="29">
        <v>0.35</v>
      </c>
      <c r="E141" s="21">
        <v>71124.45</v>
      </c>
      <c r="F141" s="21">
        <v>389360</v>
      </c>
      <c r="G141" s="21">
        <f t="shared" si="11"/>
        <v>460484.45</v>
      </c>
      <c r="H141" s="21">
        <v>260581.75</v>
      </c>
      <c r="I141" s="21">
        <v>89902.7</v>
      </c>
      <c r="J141" s="27">
        <f t="shared" si="12"/>
        <v>0.19523503996714764</v>
      </c>
      <c r="K141" s="46">
        <v>110000</v>
      </c>
      <c r="L141" s="47">
        <v>0</v>
      </c>
      <c r="M141" s="47">
        <v>34107.18</v>
      </c>
      <c r="N141" s="47">
        <f>47104.85+5497.46</f>
        <v>52602.31</v>
      </c>
      <c r="O141" s="32">
        <f t="shared" si="13"/>
        <v>86709.489999999991</v>
      </c>
      <c r="P141" s="35">
        <f t="shared" si="14"/>
        <v>0.22269747791247171</v>
      </c>
    </row>
    <row r="142" spans="1:16">
      <c r="A142" s="20" t="s">
        <v>399</v>
      </c>
      <c r="B142" s="29">
        <v>0.2102</v>
      </c>
      <c r="C142" s="29">
        <v>0.63229999999999997</v>
      </c>
      <c r="D142" s="29" t="s">
        <v>536</v>
      </c>
      <c r="E142" s="21">
        <v>0</v>
      </c>
      <c r="F142" s="21">
        <v>46479</v>
      </c>
      <c r="G142" s="21">
        <f t="shared" si="11"/>
        <v>46479</v>
      </c>
      <c r="H142" s="21">
        <v>46479</v>
      </c>
      <c r="I142" s="21">
        <v>0</v>
      </c>
      <c r="J142" s="27">
        <f t="shared" si="12"/>
        <v>0</v>
      </c>
      <c r="K142" s="46">
        <v>0</v>
      </c>
      <c r="L142" s="47">
        <v>0</v>
      </c>
      <c r="M142" s="47">
        <v>5594.36</v>
      </c>
      <c r="N142" s="47">
        <v>0</v>
      </c>
      <c r="O142" s="32">
        <f t="shared" si="13"/>
        <v>5594.36</v>
      </c>
      <c r="P142" s="35">
        <f t="shared" si="14"/>
        <v>0.12036317476709911</v>
      </c>
    </row>
    <row r="143" spans="1:16" ht="27">
      <c r="A143" s="20" t="s">
        <v>413</v>
      </c>
      <c r="B143" s="29">
        <v>0.26190000000000002</v>
      </c>
      <c r="C143" s="29">
        <v>0.44469999999999998</v>
      </c>
      <c r="D143" s="29">
        <v>0.12</v>
      </c>
      <c r="E143" s="21">
        <v>0</v>
      </c>
      <c r="F143" s="21">
        <v>38192</v>
      </c>
      <c r="G143" s="21">
        <f t="shared" si="11"/>
        <v>38192</v>
      </c>
      <c r="H143" s="21">
        <v>38143.5</v>
      </c>
      <c r="I143" s="21">
        <v>48.5</v>
      </c>
      <c r="J143" s="27">
        <f t="shared" si="12"/>
        <v>1.2698994553833264E-3</v>
      </c>
      <c r="K143" s="46">
        <v>0</v>
      </c>
      <c r="L143" s="47">
        <v>0</v>
      </c>
      <c r="M143" s="47">
        <v>0</v>
      </c>
      <c r="N143" s="47">
        <v>0</v>
      </c>
      <c r="O143" s="32">
        <f t="shared" si="13"/>
        <v>0</v>
      </c>
      <c r="P143" s="33">
        <f t="shared" si="14"/>
        <v>0</v>
      </c>
    </row>
    <row r="144" spans="1:16">
      <c r="A144" s="20" t="s">
        <v>391</v>
      </c>
      <c r="B144" s="29">
        <v>0.64990000000000003</v>
      </c>
      <c r="C144" s="29">
        <v>0.78039999999999998</v>
      </c>
      <c r="D144" s="29">
        <v>0.42</v>
      </c>
      <c r="E144" s="21">
        <v>0</v>
      </c>
      <c r="F144" s="21">
        <v>8139360</v>
      </c>
      <c r="G144" s="21">
        <f t="shared" si="11"/>
        <v>8139360</v>
      </c>
      <c r="H144" s="21">
        <v>8139360</v>
      </c>
      <c r="I144" s="21">
        <v>0</v>
      </c>
      <c r="J144" s="27">
        <f t="shared" si="12"/>
        <v>0</v>
      </c>
      <c r="K144" s="46">
        <v>0</v>
      </c>
      <c r="L144" s="47">
        <v>1088694.6200000001</v>
      </c>
      <c r="M144" s="47">
        <v>293466.25</v>
      </c>
      <c r="N144" s="47">
        <v>32023.279999999999</v>
      </c>
      <c r="O144" s="32">
        <f t="shared" si="13"/>
        <v>1414184.1500000001</v>
      </c>
      <c r="P144" s="35">
        <f t="shared" si="14"/>
        <v>0.1737463572074463</v>
      </c>
    </row>
    <row r="145" spans="1:16">
      <c r="A145" s="20" t="s">
        <v>281</v>
      </c>
      <c r="B145" s="29">
        <v>0.52759999999999996</v>
      </c>
      <c r="C145" s="29">
        <v>0.3125</v>
      </c>
      <c r="D145" s="29">
        <v>0.38</v>
      </c>
      <c r="E145" s="21">
        <v>1022.29</v>
      </c>
      <c r="F145" s="21">
        <v>450864</v>
      </c>
      <c r="G145" s="21">
        <f t="shared" si="11"/>
        <v>451886.29</v>
      </c>
      <c r="H145" s="21">
        <v>373489.06</v>
      </c>
      <c r="I145" s="21">
        <v>0</v>
      </c>
      <c r="J145" s="27">
        <f t="shared" si="12"/>
        <v>0</v>
      </c>
      <c r="K145" s="46">
        <v>92528.57</v>
      </c>
      <c r="L145" s="47">
        <v>0</v>
      </c>
      <c r="M145" s="47">
        <v>42677.27</v>
      </c>
      <c r="N145" s="47">
        <v>0</v>
      </c>
      <c r="O145" s="32">
        <f t="shared" si="13"/>
        <v>42677.27</v>
      </c>
      <c r="P145" s="35">
        <f t="shared" si="14"/>
        <v>9.4656637034671198E-2</v>
      </c>
    </row>
    <row r="146" spans="1:16">
      <c r="A146" s="20" t="s">
        <v>275</v>
      </c>
      <c r="B146" s="29">
        <v>0.69579999999999997</v>
      </c>
      <c r="C146" s="29">
        <v>8.6400000000000005E-2</v>
      </c>
      <c r="D146" s="29">
        <v>0.24</v>
      </c>
      <c r="E146" s="21">
        <v>977.49</v>
      </c>
      <c r="F146" s="21">
        <v>376960</v>
      </c>
      <c r="G146" s="21">
        <f t="shared" si="11"/>
        <v>377937.49</v>
      </c>
      <c r="H146" s="21">
        <v>280890.25</v>
      </c>
      <c r="I146" s="21">
        <v>76692.820000000007</v>
      </c>
      <c r="J146" s="27">
        <f t="shared" si="12"/>
        <v>0.20292461591995017</v>
      </c>
      <c r="K146" s="46">
        <v>0</v>
      </c>
      <c r="L146" s="47">
        <v>0</v>
      </c>
      <c r="M146" s="47">
        <f>7093.23+5896.5</f>
        <v>12989.73</v>
      </c>
      <c r="N146" s="47">
        <v>0</v>
      </c>
      <c r="O146" s="32">
        <f t="shared" si="13"/>
        <v>12989.73</v>
      </c>
      <c r="P146" s="35">
        <f t="shared" si="14"/>
        <v>3.4459173387096774E-2</v>
      </c>
    </row>
    <row r="147" spans="1:16">
      <c r="A147" s="20" t="s">
        <v>203</v>
      </c>
      <c r="B147" s="29">
        <v>0.47189999999999999</v>
      </c>
      <c r="C147" s="29">
        <v>4.3099999999999999E-2</v>
      </c>
      <c r="D147" s="29">
        <v>0.2</v>
      </c>
      <c r="E147" s="21">
        <v>103396.16</v>
      </c>
      <c r="F147" s="21">
        <v>143840</v>
      </c>
      <c r="G147" s="21">
        <f t="shared" si="11"/>
        <v>247236.16</v>
      </c>
      <c r="H147" s="21">
        <v>128161.97</v>
      </c>
      <c r="I147" s="21">
        <v>140151.37</v>
      </c>
      <c r="J147" s="27">
        <f t="shared" si="12"/>
        <v>0.5668724591095412</v>
      </c>
      <c r="K147" s="46">
        <v>0</v>
      </c>
      <c r="L147" s="47">
        <v>0</v>
      </c>
      <c r="M147" s="47">
        <v>30621.19</v>
      </c>
      <c r="N147" s="47">
        <v>6493.01</v>
      </c>
      <c r="O147" s="32">
        <f t="shared" si="13"/>
        <v>37114.199999999997</v>
      </c>
      <c r="P147" s="35">
        <f t="shared" si="14"/>
        <v>0.25802419354838707</v>
      </c>
    </row>
    <row r="148" spans="1:16">
      <c r="A148" s="20" t="s">
        <v>88</v>
      </c>
      <c r="B148" s="29">
        <v>0.64090000000000003</v>
      </c>
      <c r="C148" s="29">
        <v>0.59460000000000002</v>
      </c>
      <c r="D148" s="29">
        <v>0.49</v>
      </c>
      <c r="E148" s="21">
        <v>120720.27</v>
      </c>
      <c r="F148" s="21">
        <v>932480</v>
      </c>
      <c r="G148" s="21">
        <f t="shared" si="11"/>
        <v>1053200.27</v>
      </c>
      <c r="H148" s="21">
        <v>890786.95</v>
      </c>
      <c r="I148" s="21">
        <v>162413.32</v>
      </c>
      <c r="J148" s="27">
        <f t="shared" si="12"/>
        <v>0.15420934140094741</v>
      </c>
      <c r="K148" s="46">
        <v>0</v>
      </c>
      <c r="L148" s="47">
        <v>33050.26</v>
      </c>
      <c r="M148" s="47">
        <v>83870.95</v>
      </c>
      <c r="N148" s="47">
        <v>9666.7900000000009</v>
      </c>
      <c r="O148" s="32">
        <f t="shared" si="13"/>
        <v>126588</v>
      </c>
      <c r="P148" s="35">
        <f t="shared" si="14"/>
        <v>0.1357541180507893</v>
      </c>
    </row>
    <row r="149" spans="1:16">
      <c r="A149" s="20" t="s">
        <v>205</v>
      </c>
      <c r="B149" s="29">
        <v>0.67589999999999995</v>
      </c>
      <c r="C149" s="29">
        <v>0.39250000000000002</v>
      </c>
      <c r="D149" s="29">
        <v>0.35</v>
      </c>
      <c r="E149" s="21">
        <v>6457.25</v>
      </c>
      <c r="F149" s="21">
        <v>655712</v>
      </c>
      <c r="G149" s="21">
        <f t="shared" si="11"/>
        <v>662169.25</v>
      </c>
      <c r="H149" s="21">
        <v>308442.52</v>
      </c>
      <c r="I149" s="21">
        <v>64526.73</v>
      </c>
      <c r="J149" s="27">
        <f t="shared" si="12"/>
        <v>9.7447487934542415E-2</v>
      </c>
      <c r="K149" s="46">
        <v>0</v>
      </c>
      <c r="L149" s="47">
        <v>0</v>
      </c>
      <c r="M149" s="47">
        <v>0</v>
      </c>
      <c r="N149" s="47">
        <v>10941.67</v>
      </c>
      <c r="O149" s="32">
        <f t="shared" si="13"/>
        <v>10941.67</v>
      </c>
      <c r="P149" s="35">
        <f t="shared" si="14"/>
        <v>1.6686700868674052E-2</v>
      </c>
    </row>
    <row r="150" spans="1:16" ht="27">
      <c r="A150" s="20" t="s">
        <v>164</v>
      </c>
      <c r="B150" s="29">
        <v>0.62250000000000005</v>
      </c>
      <c r="C150" s="29">
        <v>2.53E-2</v>
      </c>
      <c r="D150" s="29">
        <v>0.12</v>
      </c>
      <c r="E150" s="21">
        <v>16115.79</v>
      </c>
      <c r="F150" s="21">
        <v>135904</v>
      </c>
      <c r="G150" s="21">
        <f t="shared" si="11"/>
        <v>152019.79</v>
      </c>
      <c r="H150" s="21">
        <v>148682.57</v>
      </c>
      <c r="I150" s="21">
        <v>3337.22</v>
      </c>
      <c r="J150" s="27">
        <f t="shared" si="12"/>
        <v>2.1952536574349955E-2</v>
      </c>
      <c r="K150" s="46">
        <v>0</v>
      </c>
      <c r="L150" s="47">
        <v>0</v>
      </c>
      <c r="M150" s="47">
        <v>7624.06</v>
      </c>
      <c r="N150" s="47">
        <v>0</v>
      </c>
      <c r="O150" s="32">
        <f t="shared" si="13"/>
        <v>7624.06</v>
      </c>
      <c r="P150" s="35">
        <f t="shared" si="14"/>
        <v>5.6098863903932192E-2</v>
      </c>
    </row>
    <row r="151" spans="1:16">
      <c r="A151" s="20" t="s">
        <v>309</v>
      </c>
      <c r="B151" s="29">
        <v>0.6331</v>
      </c>
      <c r="C151" s="29">
        <v>7.2300000000000003E-2</v>
      </c>
      <c r="D151" s="29">
        <v>0.37</v>
      </c>
      <c r="E151" s="21">
        <v>25908.11</v>
      </c>
      <c r="F151" s="21">
        <v>315952</v>
      </c>
      <c r="G151" s="21">
        <f t="shared" si="11"/>
        <v>341860.11</v>
      </c>
      <c r="H151" s="21">
        <v>250424.14</v>
      </c>
      <c r="I151" s="21">
        <v>18117.95</v>
      </c>
      <c r="J151" s="27">
        <f t="shared" si="12"/>
        <v>5.2998140087183621E-2</v>
      </c>
      <c r="K151" s="46">
        <v>76834.02</v>
      </c>
      <c r="L151" s="47">
        <v>0</v>
      </c>
      <c r="M151" s="47">
        <v>0</v>
      </c>
      <c r="N151" s="47">
        <v>0</v>
      </c>
      <c r="O151" s="32">
        <f t="shared" si="13"/>
        <v>0</v>
      </c>
      <c r="P151" s="33">
        <f t="shared" si="14"/>
        <v>0</v>
      </c>
    </row>
    <row r="152" spans="1:16">
      <c r="A152" s="20" t="s">
        <v>448</v>
      </c>
      <c r="B152" s="29">
        <v>0.46610000000000001</v>
      </c>
      <c r="C152" s="29">
        <v>7.3599999999999999E-2</v>
      </c>
      <c r="D152" s="29">
        <v>0.28999999999999998</v>
      </c>
      <c r="E152" s="21">
        <v>0</v>
      </c>
      <c r="F152" s="21">
        <v>224688</v>
      </c>
      <c r="G152" s="21">
        <f t="shared" si="11"/>
        <v>224688</v>
      </c>
      <c r="H152" s="21">
        <v>205033.1</v>
      </c>
      <c r="I152" s="21">
        <v>19654.900000000001</v>
      </c>
      <c r="J152" s="27">
        <f t="shared" si="12"/>
        <v>8.7476411735384188E-2</v>
      </c>
      <c r="K152" s="46">
        <v>0</v>
      </c>
      <c r="L152" s="47">
        <v>0</v>
      </c>
      <c r="M152" s="47">
        <v>0</v>
      </c>
      <c r="N152" s="47">
        <v>1119.18</v>
      </c>
      <c r="O152" s="32">
        <f t="shared" si="13"/>
        <v>1119.18</v>
      </c>
      <c r="P152" s="33">
        <f t="shared" si="14"/>
        <v>4.9810403759880367E-3</v>
      </c>
    </row>
    <row r="153" spans="1:16">
      <c r="A153" s="20" t="s">
        <v>128</v>
      </c>
      <c r="B153" s="29">
        <v>0.50649999999999995</v>
      </c>
      <c r="C153" s="29">
        <v>0.4461</v>
      </c>
      <c r="D153" s="29">
        <v>0.26</v>
      </c>
      <c r="E153" s="21">
        <v>110925.41</v>
      </c>
      <c r="F153" s="21">
        <v>976128</v>
      </c>
      <c r="G153" s="21">
        <f t="shared" si="11"/>
        <v>1087053.4099999999</v>
      </c>
      <c r="H153" s="21">
        <v>976687.64</v>
      </c>
      <c r="I153" s="21">
        <v>110365.77</v>
      </c>
      <c r="J153" s="27">
        <f t="shared" si="12"/>
        <v>0.10152745852662383</v>
      </c>
      <c r="K153" s="46">
        <v>0</v>
      </c>
      <c r="L153" s="47">
        <v>0</v>
      </c>
      <c r="M153" s="47">
        <v>42466.64</v>
      </c>
      <c r="N153" s="47">
        <f>14095.97+29320.47</f>
        <v>43416.44</v>
      </c>
      <c r="O153" s="32">
        <f t="shared" si="13"/>
        <v>85883.08</v>
      </c>
      <c r="P153" s="35">
        <f t="shared" si="14"/>
        <v>8.7983420207185942E-2</v>
      </c>
    </row>
    <row r="154" spans="1:16">
      <c r="A154" s="20" t="s">
        <v>361</v>
      </c>
      <c r="B154" s="29">
        <v>0.72150000000000003</v>
      </c>
      <c r="C154" s="29">
        <v>0.33</v>
      </c>
      <c r="D154" s="29">
        <v>0.43</v>
      </c>
      <c r="E154" s="21">
        <v>24041.040000000001</v>
      </c>
      <c r="F154" s="21">
        <v>459296</v>
      </c>
      <c r="G154" s="21">
        <f t="shared" si="11"/>
        <v>483337.04</v>
      </c>
      <c r="H154" s="21">
        <v>391825.42</v>
      </c>
      <c r="I154" s="21">
        <v>51961.62</v>
      </c>
      <c r="J154" s="27">
        <f t="shared" si="12"/>
        <v>0.10750597554038069</v>
      </c>
      <c r="K154" s="46">
        <v>39550</v>
      </c>
      <c r="L154" s="47">
        <v>0</v>
      </c>
      <c r="M154" s="47">
        <v>0</v>
      </c>
      <c r="N154" s="47">
        <f>1937.55+28697.3</f>
        <v>30634.85</v>
      </c>
      <c r="O154" s="32">
        <f t="shared" si="13"/>
        <v>30634.85</v>
      </c>
      <c r="P154" s="35">
        <f t="shared" si="14"/>
        <v>6.669957935623215E-2</v>
      </c>
    </row>
    <row r="155" spans="1:16">
      <c r="A155" s="20" t="s">
        <v>187</v>
      </c>
      <c r="B155" s="29">
        <v>0.56130000000000002</v>
      </c>
      <c r="C155" s="29">
        <v>2.7400000000000001E-2</v>
      </c>
      <c r="D155" s="29">
        <v>0.36</v>
      </c>
      <c r="E155" s="21">
        <v>1808.21</v>
      </c>
      <c r="F155" s="21">
        <v>196416</v>
      </c>
      <c r="G155" s="21">
        <f t="shared" si="11"/>
        <v>198224.21</v>
      </c>
      <c r="H155" s="21">
        <v>195419.31</v>
      </c>
      <c r="I155" s="21">
        <v>2804.9</v>
      </c>
      <c r="J155" s="27">
        <f t="shared" si="12"/>
        <v>1.415013837108999E-2</v>
      </c>
      <c r="K155" s="46">
        <v>0</v>
      </c>
      <c r="L155" s="47">
        <v>0</v>
      </c>
      <c r="M155" s="47">
        <v>13329.7</v>
      </c>
      <c r="N155" s="47">
        <v>0</v>
      </c>
      <c r="O155" s="32">
        <f t="shared" si="13"/>
        <v>13329.7</v>
      </c>
      <c r="P155" s="35">
        <f t="shared" si="14"/>
        <v>6.7864634245682634E-2</v>
      </c>
    </row>
    <row r="156" spans="1:16">
      <c r="A156" s="20" t="s">
        <v>347</v>
      </c>
      <c r="B156" s="29">
        <v>0.96040000000000003</v>
      </c>
      <c r="C156" s="29">
        <v>0.94130000000000003</v>
      </c>
      <c r="D156" s="29">
        <v>0.48</v>
      </c>
      <c r="E156" s="21">
        <v>449614.24</v>
      </c>
      <c r="F156" s="21">
        <v>1013328</v>
      </c>
      <c r="G156" s="21">
        <f t="shared" ref="G156:G187" si="15">E156+F156</f>
        <v>1462942.24</v>
      </c>
      <c r="H156" s="21">
        <v>1462942.24</v>
      </c>
      <c r="I156" s="21">
        <v>0</v>
      </c>
      <c r="J156" s="27">
        <f t="shared" si="12"/>
        <v>0</v>
      </c>
      <c r="K156" s="46">
        <v>0</v>
      </c>
      <c r="L156" s="47">
        <v>12030.12</v>
      </c>
      <c r="M156" s="47">
        <v>33046.339999999997</v>
      </c>
      <c r="N156" s="47">
        <v>0</v>
      </c>
      <c r="O156" s="32">
        <f t="shared" si="13"/>
        <v>45076.46</v>
      </c>
      <c r="P156" s="35">
        <f t="shared" si="14"/>
        <v>4.448358280833057E-2</v>
      </c>
    </row>
    <row r="157" spans="1:16">
      <c r="A157" s="20" t="s">
        <v>152</v>
      </c>
      <c r="B157" s="29">
        <v>0.35899999999999999</v>
      </c>
      <c r="C157" s="29">
        <v>0.1038</v>
      </c>
      <c r="D157" s="29">
        <v>0.37</v>
      </c>
      <c r="E157" s="21">
        <v>37672.82</v>
      </c>
      <c r="F157" s="21">
        <v>224156</v>
      </c>
      <c r="G157" s="21">
        <f t="shared" si="15"/>
        <v>261828.82</v>
      </c>
      <c r="H157" s="21">
        <v>240564.79</v>
      </c>
      <c r="I157" s="21">
        <v>21264.03</v>
      </c>
      <c r="J157" s="27">
        <f t="shared" si="12"/>
        <v>8.1213481388336076E-2</v>
      </c>
      <c r="K157" s="46">
        <v>0</v>
      </c>
      <c r="L157" s="47">
        <v>0</v>
      </c>
      <c r="M157" s="47">
        <v>0</v>
      </c>
      <c r="N157" s="47">
        <v>7510.11</v>
      </c>
      <c r="O157" s="32">
        <f t="shared" si="13"/>
        <v>7510.11</v>
      </c>
      <c r="P157" s="35">
        <f t="shared" si="14"/>
        <v>3.3503943682078548E-2</v>
      </c>
    </row>
    <row r="158" spans="1:16">
      <c r="A158" s="20" t="s">
        <v>415</v>
      </c>
      <c r="B158" s="29">
        <v>0.70220000000000005</v>
      </c>
      <c r="C158" s="29">
        <v>8.6E-3</v>
      </c>
      <c r="D158" s="29">
        <v>0.22</v>
      </c>
      <c r="E158" s="21">
        <v>32924.800000000003</v>
      </c>
      <c r="F158" s="21">
        <v>224191</v>
      </c>
      <c r="G158" s="21">
        <f t="shared" si="15"/>
        <v>257115.8</v>
      </c>
      <c r="H158" s="21">
        <v>189926.74</v>
      </c>
      <c r="I158" s="21">
        <v>67189.06</v>
      </c>
      <c r="J158" s="27">
        <f t="shared" si="12"/>
        <v>0.26131828537958385</v>
      </c>
      <c r="K158" s="46">
        <v>0</v>
      </c>
      <c r="L158" s="47">
        <v>0</v>
      </c>
      <c r="M158" s="47">
        <v>26951.9</v>
      </c>
      <c r="N158" s="47">
        <v>14718.88</v>
      </c>
      <c r="O158" s="32">
        <f t="shared" si="13"/>
        <v>41670.78</v>
      </c>
      <c r="P158" s="35">
        <f t="shared" si="14"/>
        <v>0.18587177897417825</v>
      </c>
    </row>
    <row r="159" spans="1:16">
      <c r="A159" s="20" t="s">
        <v>516</v>
      </c>
      <c r="B159" s="29">
        <v>0.59970000000000001</v>
      </c>
      <c r="C159" s="29">
        <v>0.17230000000000001</v>
      </c>
      <c r="D159" s="29">
        <v>0.26</v>
      </c>
      <c r="E159" s="21">
        <v>103822.73</v>
      </c>
      <c r="F159" s="21">
        <v>180544</v>
      </c>
      <c r="G159" s="21">
        <f t="shared" si="15"/>
        <v>284366.73</v>
      </c>
      <c r="H159" s="21">
        <v>108658.32</v>
      </c>
      <c r="I159" s="21">
        <v>145708.41</v>
      </c>
      <c r="J159" s="27">
        <f t="shared" si="12"/>
        <v>0.51239612313296989</v>
      </c>
      <c r="K159" s="46">
        <v>30000</v>
      </c>
      <c r="L159" s="47">
        <v>1894.9</v>
      </c>
      <c r="M159" s="47">
        <v>0</v>
      </c>
      <c r="N159" s="47">
        <f>18.77+12087.01</f>
        <v>12105.78</v>
      </c>
      <c r="O159" s="32">
        <f t="shared" si="13"/>
        <v>14000.68</v>
      </c>
      <c r="P159" s="35">
        <f t="shared" si="14"/>
        <v>7.75471907125133E-2</v>
      </c>
    </row>
    <row r="160" spans="1:16">
      <c r="A160" s="20" t="s">
        <v>140</v>
      </c>
      <c r="B160" s="29">
        <v>0.75</v>
      </c>
      <c r="C160" s="29">
        <v>0.03</v>
      </c>
      <c r="D160" s="29">
        <v>0.24</v>
      </c>
      <c r="E160" s="21">
        <v>169793.95</v>
      </c>
      <c r="F160" s="21">
        <v>889824</v>
      </c>
      <c r="G160" s="21">
        <f t="shared" si="15"/>
        <v>1059617.95</v>
      </c>
      <c r="H160" s="21">
        <v>671465.39</v>
      </c>
      <c r="I160" s="21">
        <v>392721.29</v>
      </c>
      <c r="J160" s="27">
        <f t="shared" si="12"/>
        <v>0.37062536549140185</v>
      </c>
      <c r="K160" s="46">
        <v>0</v>
      </c>
      <c r="L160" s="47">
        <v>0</v>
      </c>
      <c r="M160" s="47">
        <v>12936.23</v>
      </c>
      <c r="N160" s="47">
        <f>9757.51+37148.39</f>
        <v>46905.9</v>
      </c>
      <c r="O160" s="32">
        <f t="shared" si="13"/>
        <v>59842.130000000005</v>
      </c>
      <c r="P160" s="35">
        <f t="shared" si="14"/>
        <v>6.7251647516812313E-2</v>
      </c>
    </row>
    <row r="161" spans="1:16">
      <c r="A161" s="20" t="s">
        <v>227</v>
      </c>
      <c r="B161" s="29">
        <v>0.49149999999999999</v>
      </c>
      <c r="C161" s="29">
        <v>6.6E-3</v>
      </c>
      <c r="D161" s="29">
        <v>0.16</v>
      </c>
      <c r="E161" s="21">
        <v>14370.03</v>
      </c>
      <c r="F161" s="21">
        <v>205344</v>
      </c>
      <c r="G161" s="21">
        <f t="shared" si="15"/>
        <v>219714.03</v>
      </c>
      <c r="H161" s="21">
        <v>168004.25</v>
      </c>
      <c r="I161" s="21">
        <v>51709.78</v>
      </c>
      <c r="J161" s="27">
        <f t="shared" si="12"/>
        <v>0.23535037794354779</v>
      </c>
      <c r="K161" s="46">
        <v>0</v>
      </c>
      <c r="L161" s="47">
        <v>0</v>
      </c>
      <c r="M161" s="47">
        <v>45773.19</v>
      </c>
      <c r="N161" s="47">
        <v>37150.559999999998</v>
      </c>
      <c r="O161" s="32">
        <f t="shared" si="13"/>
        <v>82923.75</v>
      </c>
      <c r="P161" s="35">
        <f t="shared" si="14"/>
        <v>0.40382845371669002</v>
      </c>
    </row>
    <row r="162" spans="1:16">
      <c r="A162" s="20" t="s">
        <v>369</v>
      </c>
      <c r="B162" s="29">
        <v>0.55710000000000004</v>
      </c>
      <c r="C162" s="29">
        <v>5.4100000000000002E-2</v>
      </c>
      <c r="D162" s="29">
        <v>0.27</v>
      </c>
      <c r="E162" s="21">
        <v>18131.830000000002</v>
      </c>
      <c r="F162" s="21">
        <v>540640</v>
      </c>
      <c r="G162" s="21">
        <f t="shared" si="15"/>
        <v>558771.82999999996</v>
      </c>
      <c r="H162" s="21">
        <v>354594.47</v>
      </c>
      <c r="I162" s="21">
        <v>0</v>
      </c>
      <c r="J162" s="27">
        <f t="shared" si="12"/>
        <v>0</v>
      </c>
      <c r="K162" s="46">
        <v>0</v>
      </c>
      <c r="L162" s="47">
        <v>0</v>
      </c>
      <c r="M162" s="47">
        <v>20825.59</v>
      </c>
      <c r="N162" s="47">
        <v>0</v>
      </c>
      <c r="O162" s="32">
        <f t="shared" si="13"/>
        <v>20825.59</v>
      </c>
      <c r="P162" s="35">
        <f t="shared" si="14"/>
        <v>3.8520253773305715E-2</v>
      </c>
    </row>
    <row r="163" spans="1:16">
      <c r="A163" s="20" t="s">
        <v>221</v>
      </c>
      <c r="B163" s="29">
        <v>0.63100000000000001</v>
      </c>
      <c r="C163" s="29">
        <v>2.93E-2</v>
      </c>
      <c r="D163" s="29">
        <v>0.28999999999999998</v>
      </c>
      <c r="E163" s="21">
        <v>577.77</v>
      </c>
      <c r="F163" s="21">
        <v>145824</v>
      </c>
      <c r="G163" s="21">
        <f t="shared" si="15"/>
        <v>146401.76999999999</v>
      </c>
      <c r="H163" s="21">
        <v>130727.45</v>
      </c>
      <c r="I163" s="21">
        <v>15674.32</v>
      </c>
      <c r="J163" s="27">
        <f t="shared" si="12"/>
        <v>0.10706373290432213</v>
      </c>
      <c r="K163" s="46">
        <v>0</v>
      </c>
      <c r="L163" s="47">
        <v>0</v>
      </c>
      <c r="M163" s="47">
        <v>0</v>
      </c>
      <c r="N163" s="47">
        <v>0</v>
      </c>
      <c r="O163" s="32">
        <f t="shared" si="13"/>
        <v>0</v>
      </c>
      <c r="P163" s="33">
        <f t="shared" si="14"/>
        <v>0</v>
      </c>
    </row>
    <row r="164" spans="1:16">
      <c r="A164" s="20" t="s">
        <v>211</v>
      </c>
      <c r="B164" s="29">
        <v>0.74780000000000002</v>
      </c>
      <c r="C164" s="29">
        <v>0.77180000000000004</v>
      </c>
      <c r="D164" s="29">
        <v>0.41</v>
      </c>
      <c r="E164" s="21">
        <v>51537.2</v>
      </c>
      <c r="F164" s="21">
        <v>418624</v>
      </c>
      <c r="G164" s="21">
        <f t="shared" si="15"/>
        <v>470161.2</v>
      </c>
      <c r="H164" s="21">
        <v>446993.72</v>
      </c>
      <c r="I164" s="21">
        <v>23167.48</v>
      </c>
      <c r="J164" s="27">
        <f t="shared" si="12"/>
        <v>4.9275610152432821E-2</v>
      </c>
      <c r="K164" s="46">
        <v>0</v>
      </c>
      <c r="L164" s="47">
        <v>0</v>
      </c>
      <c r="M164" s="47">
        <v>0</v>
      </c>
      <c r="N164" s="47">
        <v>0</v>
      </c>
      <c r="O164" s="32">
        <f t="shared" si="13"/>
        <v>0</v>
      </c>
      <c r="P164" s="33">
        <f t="shared" si="14"/>
        <v>0</v>
      </c>
    </row>
    <row r="165" spans="1:16">
      <c r="A165" s="20" t="s">
        <v>144</v>
      </c>
      <c r="B165" s="29">
        <v>0.53459999999999996</v>
      </c>
      <c r="C165" s="29">
        <v>0.37380000000000002</v>
      </c>
      <c r="D165" s="29">
        <v>0.3</v>
      </c>
      <c r="E165" s="21">
        <v>3295.19</v>
      </c>
      <c r="F165" s="21">
        <v>549568</v>
      </c>
      <c r="G165" s="21">
        <f t="shared" si="15"/>
        <v>552863.18999999994</v>
      </c>
      <c r="H165" s="21">
        <v>513051.17</v>
      </c>
      <c r="I165" s="21">
        <v>39812.019999999997</v>
      </c>
      <c r="J165" s="27">
        <f t="shared" si="12"/>
        <v>7.2010618033730919E-2</v>
      </c>
      <c r="K165" s="46">
        <v>0</v>
      </c>
      <c r="L165" s="47">
        <v>1707.81</v>
      </c>
      <c r="M165" s="47">
        <v>0</v>
      </c>
      <c r="N165" s="47">
        <v>0</v>
      </c>
      <c r="O165" s="32">
        <f t="shared" si="13"/>
        <v>1707.81</v>
      </c>
      <c r="P165" s="33">
        <f t="shared" si="14"/>
        <v>3.1075499301269358E-3</v>
      </c>
    </row>
    <row r="166" spans="1:16">
      <c r="A166" s="20" t="s">
        <v>321</v>
      </c>
      <c r="B166" s="29">
        <v>0.63</v>
      </c>
      <c r="C166" s="29">
        <v>3.3700000000000001E-2</v>
      </c>
      <c r="D166" s="29">
        <v>0.27</v>
      </c>
      <c r="E166" s="21">
        <v>0</v>
      </c>
      <c r="F166" s="21">
        <v>178560</v>
      </c>
      <c r="G166" s="21">
        <f t="shared" si="15"/>
        <v>178560</v>
      </c>
      <c r="H166" s="21">
        <v>178560</v>
      </c>
      <c r="I166" s="21">
        <v>0</v>
      </c>
      <c r="J166" s="27">
        <f t="shared" si="12"/>
        <v>0</v>
      </c>
      <c r="K166" s="46">
        <v>0</v>
      </c>
      <c r="L166" s="47">
        <v>0</v>
      </c>
      <c r="M166" s="47">
        <v>663.78</v>
      </c>
      <c r="N166" s="47">
        <v>0</v>
      </c>
      <c r="O166" s="32">
        <f t="shared" si="13"/>
        <v>663.78</v>
      </c>
      <c r="P166" s="33">
        <f t="shared" si="14"/>
        <v>3.7174059139784945E-3</v>
      </c>
    </row>
    <row r="167" spans="1:16" ht="27">
      <c r="A167" s="20" t="s">
        <v>16</v>
      </c>
      <c r="B167" s="29">
        <v>0.50139999999999996</v>
      </c>
      <c r="C167" s="29">
        <v>9.4500000000000001E-2</v>
      </c>
      <c r="D167" s="29">
        <v>0.23</v>
      </c>
      <c r="E167" s="21">
        <v>10880.54</v>
      </c>
      <c r="F167" s="21">
        <v>924048</v>
      </c>
      <c r="G167" s="21">
        <f t="shared" si="15"/>
        <v>934928.54</v>
      </c>
      <c r="H167" s="21">
        <v>659599.09</v>
      </c>
      <c r="I167" s="21">
        <v>21329.45</v>
      </c>
      <c r="J167" s="27">
        <f t="shared" si="12"/>
        <v>2.281398961251092E-2</v>
      </c>
      <c r="K167" s="46">
        <v>254000</v>
      </c>
      <c r="L167" s="47">
        <v>0</v>
      </c>
      <c r="M167" s="47">
        <v>-61.01</v>
      </c>
      <c r="N167" s="47">
        <f>3649.5+149552.15</f>
        <v>153201.65</v>
      </c>
      <c r="O167" s="32">
        <f t="shared" si="13"/>
        <v>153140.63999999998</v>
      </c>
      <c r="P167" s="35">
        <f t="shared" si="14"/>
        <v>0.16572801412913613</v>
      </c>
    </row>
    <row r="168" spans="1:16">
      <c r="A168" s="20" t="s">
        <v>181</v>
      </c>
      <c r="B168" s="29">
        <v>0.76049999999999995</v>
      </c>
      <c r="C168" s="29">
        <v>0.16830000000000001</v>
      </c>
      <c r="D168" s="29">
        <v>0.41</v>
      </c>
      <c r="E168" s="21">
        <v>83640.11</v>
      </c>
      <c r="F168" s="21">
        <v>448384</v>
      </c>
      <c r="G168" s="21">
        <f t="shared" si="15"/>
        <v>532024.11</v>
      </c>
      <c r="H168" s="21">
        <v>482773.69</v>
      </c>
      <c r="I168" s="21">
        <v>49250.42</v>
      </c>
      <c r="J168" s="27">
        <f t="shared" si="12"/>
        <v>9.2571782132204503E-2</v>
      </c>
      <c r="K168" s="46">
        <v>0</v>
      </c>
      <c r="L168" s="47">
        <v>426</v>
      </c>
      <c r="M168" s="47">
        <v>0</v>
      </c>
      <c r="N168" s="47">
        <f>23168.16+15554.23</f>
        <v>38722.39</v>
      </c>
      <c r="O168" s="32">
        <f t="shared" si="13"/>
        <v>39148.39</v>
      </c>
      <c r="P168" s="35">
        <f t="shared" si="14"/>
        <v>8.7309961996859836E-2</v>
      </c>
    </row>
    <row r="169" spans="1:16" ht="27">
      <c r="A169" s="20" t="s">
        <v>460</v>
      </c>
      <c r="B169" s="29">
        <v>0.59840000000000004</v>
      </c>
      <c r="C169" s="29">
        <v>3.2000000000000001E-2</v>
      </c>
      <c r="D169" s="29">
        <v>0.19</v>
      </c>
      <c r="E169" s="21">
        <v>44949.21</v>
      </c>
      <c r="F169" s="21">
        <v>451360</v>
      </c>
      <c r="G169" s="21">
        <f t="shared" si="15"/>
        <v>496309.21</v>
      </c>
      <c r="H169" s="21">
        <v>429961.27</v>
      </c>
      <c r="I169" s="21">
        <v>66347.94</v>
      </c>
      <c r="J169" s="27">
        <f t="shared" si="12"/>
        <v>0.13368266931818573</v>
      </c>
      <c r="K169" s="46">
        <v>0</v>
      </c>
      <c r="L169" s="47">
        <v>0</v>
      </c>
      <c r="M169" s="47">
        <v>60463.07</v>
      </c>
      <c r="N169" s="47">
        <v>5646.37</v>
      </c>
      <c r="O169" s="32">
        <f t="shared" si="13"/>
        <v>66109.440000000002</v>
      </c>
      <c r="P169" s="35">
        <f t="shared" si="14"/>
        <v>0.14646721020914569</v>
      </c>
    </row>
    <row r="170" spans="1:16" ht="27">
      <c r="A170" s="20" t="s">
        <v>118</v>
      </c>
      <c r="B170" s="29">
        <v>0.62690000000000001</v>
      </c>
      <c r="C170" s="29">
        <v>4.4400000000000002E-2</v>
      </c>
      <c r="D170" s="29">
        <v>0.27</v>
      </c>
      <c r="E170" s="21">
        <v>7121.69</v>
      </c>
      <c r="F170" s="21">
        <v>217744</v>
      </c>
      <c r="G170" s="21">
        <f t="shared" si="15"/>
        <v>224865.69</v>
      </c>
      <c r="H170" s="21">
        <v>214478.74</v>
      </c>
      <c r="I170" s="21">
        <v>7386.95</v>
      </c>
      <c r="J170" s="27">
        <f t="shared" si="12"/>
        <v>3.2850498446428178E-2</v>
      </c>
      <c r="K170" s="46">
        <v>3000</v>
      </c>
      <c r="L170" s="47">
        <v>0</v>
      </c>
      <c r="M170" s="47">
        <v>22427.66</v>
      </c>
      <c r="N170" s="47">
        <v>0</v>
      </c>
      <c r="O170" s="32">
        <f t="shared" si="13"/>
        <v>22427.66</v>
      </c>
      <c r="P170" s="35">
        <f t="shared" si="14"/>
        <v>0.10300012859137335</v>
      </c>
    </row>
    <row r="171" spans="1:16">
      <c r="A171" s="20" t="s">
        <v>154</v>
      </c>
      <c r="B171" s="29">
        <v>0.6169</v>
      </c>
      <c r="C171" s="29">
        <v>4.1500000000000002E-2</v>
      </c>
      <c r="D171" s="29">
        <v>0.09</v>
      </c>
      <c r="E171" s="21">
        <v>6631.61</v>
      </c>
      <c r="F171" s="21">
        <v>151776</v>
      </c>
      <c r="G171" s="21">
        <f t="shared" si="15"/>
        <v>158407.60999999999</v>
      </c>
      <c r="H171" s="21">
        <v>144275.79</v>
      </c>
      <c r="I171" s="21">
        <v>12131.82</v>
      </c>
      <c r="J171" s="27">
        <f t="shared" si="12"/>
        <v>7.6586093307007164E-2</v>
      </c>
      <c r="K171" s="46">
        <v>2000</v>
      </c>
      <c r="L171" s="47">
        <v>14023.47</v>
      </c>
      <c r="M171" s="47">
        <v>9477.7800000000007</v>
      </c>
      <c r="N171" s="47">
        <v>0</v>
      </c>
      <c r="O171" s="32">
        <f t="shared" si="13"/>
        <v>23501.25</v>
      </c>
      <c r="P171" s="35">
        <f t="shared" si="14"/>
        <v>0.15484167457305503</v>
      </c>
    </row>
    <row r="172" spans="1:16">
      <c r="A172" s="20" t="s">
        <v>120</v>
      </c>
      <c r="B172" s="29">
        <v>0.6976</v>
      </c>
      <c r="C172" s="29">
        <v>3.5099999999999999E-2</v>
      </c>
      <c r="D172" s="29">
        <v>0.48</v>
      </c>
      <c r="E172" s="21">
        <v>954.65</v>
      </c>
      <c r="F172" s="21">
        <v>139872</v>
      </c>
      <c r="G172" s="21">
        <f t="shared" si="15"/>
        <v>140826.65</v>
      </c>
      <c r="H172" s="21">
        <v>148566.85999999999</v>
      </c>
      <c r="I172" s="21">
        <v>7259.79</v>
      </c>
      <c r="J172" s="27">
        <f t="shared" si="12"/>
        <v>5.1551251130379089E-2</v>
      </c>
      <c r="K172" s="46">
        <v>0</v>
      </c>
      <c r="L172" s="47">
        <v>0</v>
      </c>
      <c r="M172" s="47">
        <v>0</v>
      </c>
      <c r="N172" s="47">
        <v>0</v>
      </c>
      <c r="O172" s="32">
        <f t="shared" si="13"/>
        <v>0</v>
      </c>
      <c r="P172" s="33">
        <f t="shared" si="14"/>
        <v>0</v>
      </c>
    </row>
    <row r="173" spans="1:16" ht="27">
      <c r="A173" s="20" t="s">
        <v>357</v>
      </c>
      <c r="B173" s="29">
        <v>0.48759999999999998</v>
      </c>
      <c r="C173" s="29">
        <v>0.12239999999999999</v>
      </c>
      <c r="D173" s="29">
        <v>0.31</v>
      </c>
      <c r="E173" s="21">
        <v>12217.89</v>
      </c>
      <c r="F173" s="21">
        <v>127968</v>
      </c>
      <c r="G173" s="21">
        <f t="shared" si="15"/>
        <v>140185.89000000001</v>
      </c>
      <c r="H173" s="21">
        <v>132324.17000000001</v>
      </c>
      <c r="I173" s="21">
        <v>7861.72</v>
      </c>
      <c r="J173" s="27">
        <f t="shared" si="12"/>
        <v>5.6080679731747608E-2</v>
      </c>
      <c r="K173" s="46">
        <v>0</v>
      </c>
      <c r="L173" s="47">
        <v>0</v>
      </c>
      <c r="M173" s="47">
        <v>0</v>
      </c>
      <c r="N173" s="47">
        <v>0</v>
      </c>
      <c r="O173" s="32">
        <f t="shared" si="13"/>
        <v>0</v>
      </c>
      <c r="P173" s="33">
        <f t="shared" si="14"/>
        <v>0</v>
      </c>
    </row>
    <row r="174" spans="1:16">
      <c r="A174" s="20" t="s">
        <v>393</v>
      </c>
      <c r="B174" s="29">
        <v>0.64249999999999996</v>
      </c>
      <c r="C174" s="29">
        <v>0.65359999999999996</v>
      </c>
      <c r="D174" s="29">
        <v>0.4</v>
      </c>
      <c r="E174" s="21">
        <v>323604.21000000002</v>
      </c>
      <c r="F174" s="21">
        <v>2591600</v>
      </c>
      <c r="G174" s="21">
        <f t="shared" si="15"/>
        <v>2915204.21</v>
      </c>
      <c r="H174" s="21">
        <v>2302828.7400000002</v>
      </c>
      <c r="I174" s="21">
        <v>612375.47</v>
      </c>
      <c r="J174" s="27">
        <f t="shared" si="12"/>
        <v>0.2100626322846865</v>
      </c>
      <c r="K174" s="46">
        <v>0</v>
      </c>
      <c r="L174" s="47">
        <v>0</v>
      </c>
      <c r="M174" s="47">
        <f>127.85+473180.35</f>
        <v>473308.19999999995</v>
      </c>
      <c r="N174" s="47">
        <v>39605.22</v>
      </c>
      <c r="O174" s="32">
        <f t="shared" si="13"/>
        <v>512913.41999999993</v>
      </c>
      <c r="P174" s="35">
        <f t="shared" si="14"/>
        <v>0.19791380614292325</v>
      </c>
    </row>
    <row r="175" spans="1:16">
      <c r="A175" s="20" t="s">
        <v>213</v>
      </c>
      <c r="B175" s="29">
        <v>0.63670000000000004</v>
      </c>
      <c r="C175" s="29">
        <v>0.42309999999999998</v>
      </c>
      <c r="D175" s="29">
        <v>0.21</v>
      </c>
      <c r="E175" s="21">
        <v>82736.08</v>
      </c>
      <c r="F175" s="21">
        <v>557008</v>
      </c>
      <c r="G175" s="21">
        <f t="shared" si="15"/>
        <v>639744.07999999996</v>
      </c>
      <c r="H175" s="21">
        <v>499637.45</v>
      </c>
      <c r="I175" s="21">
        <v>105106.63</v>
      </c>
      <c r="J175" s="27">
        <f t="shared" si="12"/>
        <v>0.16429480676085351</v>
      </c>
      <c r="K175" s="46">
        <v>0</v>
      </c>
      <c r="L175" s="47">
        <v>50028.41</v>
      </c>
      <c r="M175" s="47">
        <v>0</v>
      </c>
      <c r="N175" s="47">
        <f>10273.36+5597.55</f>
        <v>15870.91</v>
      </c>
      <c r="O175" s="32">
        <f t="shared" si="13"/>
        <v>65899.320000000007</v>
      </c>
      <c r="P175" s="35">
        <f t="shared" si="14"/>
        <v>0.11830946772757304</v>
      </c>
    </row>
    <row r="176" spans="1:16">
      <c r="A176" s="20" t="s">
        <v>92</v>
      </c>
      <c r="B176" s="29">
        <v>0.63090000000000002</v>
      </c>
      <c r="C176" s="29">
        <v>9.4399999999999998E-2</v>
      </c>
      <c r="D176" s="29">
        <v>0.3</v>
      </c>
      <c r="E176" s="21">
        <v>5288.97</v>
      </c>
      <c r="F176" s="21">
        <v>162688</v>
      </c>
      <c r="G176" s="21">
        <f t="shared" si="15"/>
        <v>167976.97</v>
      </c>
      <c r="H176" s="21">
        <v>167929.96</v>
      </c>
      <c r="I176" s="21">
        <v>47.01</v>
      </c>
      <c r="J176" s="27">
        <f t="shared" si="12"/>
        <v>2.7985979268467574E-4</v>
      </c>
      <c r="K176" s="46">
        <v>0</v>
      </c>
      <c r="L176" s="47">
        <v>22703.87</v>
      </c>
      <c r="M176" s="47">
        <v>15325.73</v>
      </c>
      <c r="N176" s="47">
        <v>0</v>
      </c>
      <c r="O176" s="32">
        <f t="shared" si="13"/>
        <v>38029.599999999999</v>
      </c>
      <c r="P176" s="35">
        <f t="shared" si="14"/>
        <v>0.23375786782061367</v>
      </c>
    </row>
    <row r="177" spans="1:16">
      <c r="A177" s="20" t="s">
        <v>108</v>
      </c>
      <c r="B177" s="29">
        <v>0.55059999999999998</v>
      </c>
      <c r="C177" s="29">
        <v>0.39500000000000002</v>
      </c>
      <c r="D177" s="29">
        <v>0.17</v>
      </c>
      <c r="E177" s="21">
        <v>134956.57</v>
      </c>
      <c r="F177" s="21">
        <v>849471</v>
      </c>
      <c r="G177" s="21">
        <f t="shared" si="15"/>
        <v>984427.57000000007</v>
      </c>
      <c r="H177" s="21">
        <v>1052973.56</v>
      </c>
      <c r="I177" s="21">
        <v>532.05999999999995</v>
      </c>
      <c r="J177" s="27">
        <f t="shared" si="12"/>
        <v>5.404765329764179E-4</v>
      </c>
      <c r="K177" s="46">
        <v>0</v>
      </c>
      <c r="L177" s="47">
        <v>0</v>
      </c>
      <c r="M177" s="47">
        <v>192461.54</v>
      </c>
      <c r="N177" s="47">
        <v>0</v>
      </c>
      <c r="O177" s="32">
        <f t="shared" si="13"/>
        <v>192461.54</v>
      </c>
      <c r="P177" s="35">
        <f t="shared" si="14"/>
        <v>0.22656634540790682</v>
      </c>
    </row>
    <row r="178" spans="1:16">
      <c r="A178" s="20" t="s">
        <v>325</v>
      </c>
      <c r="B178" s="29">
        <v>0.77490000000000003</v>
      </c>
      <c r="C178" s="29">
        <v>0.4662</v>
      </c>
      <c r="D178" s="29">
        <v>0.18</v>
      </c>
      <c r="E178" s="21">
        <v>6306.43</v>
      </c>
      <c r="F178" s="21">
        <v>309504</v>
      </c>
      <c r="G178" s="21">
        <f t="shared" si="15"/>
        <v>315810.43</v>
      </c>
      <c r="H178" s="21">
        <v>302546.13</v>
      </c>
      <c r="I178" s="21">
        <v>13264.3</v>
      </c>
      <c r="J178" s="27">
        <f t="shared" si="12"/>
        <v>4.2000829421624863E-2</v>
      </c>
      <c r="K178" s="46">
        <v>0</v>
      </c>
      <c r="L178" s="47">
        <v>0</v>
      </c>
      <c r="M178" s="47">
        <v>0</v>
      </c>
      <c r="N178" s="47">
        <v>0</v>
      </c>
      <c r="O178" s="32">
        <f t="shared" si="13"/>
        <v>0</v>
      </c>
      <c r="P178" s="33">
        <f t="shared" si="14"/>
        <v>0</v>
      </c>
    </row>
    <row r="179" spans="1:16">
      <c r="A179" s="20" t="s">
        <v>231</v>
      </c>
      <c r="B179" s="29">
        <v>0.73629999999999995</v>
      </c>
      <c r="C179" s="29">
        <v>0.4451</v>
      </c>
      <c r="D179" s="29">
        <v>0.33</v>
      </c>
      <c r="E179" s="21">
        <v>294907.24</v>
      </c>
      <c r="F179" s="21">
        <v>901886</v>
      </c>
      <c r="G179" s="21">
        <f t="shared" si="15"/>
        <v>1196793.24</v>
      </c>
      <c r="H179" s="21">
        <v>1147026.3500000001</v>
      </c>
      <c r="I179" s="21">
        <v>49766.89</v>
      </c>
      <c r="J179" s="27">
        <f t="shared" si="12"/>
        <v>4.1583532005912735E-2</v>
      </c>
      <c r="K179" s="46">
        <v>0</v>
      </c>
      <c r="L179" s="47">
        <v>53649.25</v>
      </c>
      <c r="M179" s="47">
        <v>11247.03</v>
      </c>
      <c r="N179" s="47">
        <f>389.28+31468.61</f>
        <v>31857.89</v>
      </c>
      <c r="O179" s="32">
        <f t="shared" si="13"/>
        <v>96754.17</v>
      </c>
      <c r="P179" s="35">
        <f t="shared" si="14"/>
        <v>0.10727982250528337</v>
      </c>
    </row>
    <row r="180" spans="1:16">
      <c r="A180" s="20" t="s">
        <v>18</v>
      </c>
      <c r="B180" s="29">
        <v>0.75660000000000005</v>
      </c>
      <c r="C180" s="29">
        <v>4.7300000000000002E-2</v>
      </c>
      <c r="D180" s="29">
        <v>0.15</v>
      </c>
      <c r="E180" s="21">
        <v>0</v>
      </c>
      <c r="F180" s="21">
        <v>322400</v>
      </c>
      <c r="G180" s="21">
        <f t="shared" si="15"/>
        <v>322400</v>
      </c>
      <c r="H180" s="21">
        <v>283664.11</v>
      </c>
      <c r="I180" s="21">
        <v>38735.89</v>
      </c>
      <c r="J180" s="27">
        <f t="shared" si="12"/>
        <v>0.12014854218362282</v>
      </c>
      <c r="K180" s="46">
        <v>0</v>
      </c>
      <c r="L180" s="47">
        <v>0</v>
      </c>
      <c r="M180" s="47">
        <v>0</v>
      </c>
      <c r="N180" s="47">
        <f>6279.51+9600</f>
        <v>15879.51</v>
      </c>
      <c r="O180" s="32">
        <f t="shared" si="13"/>
        <v>15879.51</v>
      </c>
      <c r="P180" s="35">
        <f t="shared" si="14"/>
        <v>4.9254063275434246E-2</v>
      </c>
    </row>
    <row r="181" spans="1:16">
      <c r="A181" s="20" t="s">
        <v>466</v>
      </c>
      <c r="B181" s="29">
        <v>0.49259999999999998</v>
      </c>
      <c r="C181" s="29">
        <v>0.2717</v>
      </c>
      <c r="D181" s="29">
        <v>0.16</v>
      </c>
      <c r="E181" s="21">
        <v>15020.45</v>
      </c>
      <c r="F181" s="21">
        <v>112592</v>
      </c>
      <c r="G181" s="21">
        <f t="shared" si="15"/>
        <v>127612.45</v>
      </c>
      <c r="H181" s="21">
        <v>120614.3</v>
      </c>
      <c r="I181" s="21">
        <v>6998.15</v>
      </c>
      <c r="J181" s="27">
        <f t="shared" si="12"/>
        <v>5.4839085057923419E-2</v>
      </c>
      <c r="K181" s="46">
        <v>0</v>
      </c>
      <c r="L181" s="47">
        <v>0</v>
      </c>
      <c r="M181" s="47">
        <v>0</v>
      </c>
      <c r="N181" s="47">
        <v>6744.38</v>
      </c>
      <c r="O181" s="32">
        <f t="shared" si="13"/>
        <v>6744.38</v>
      </c>
      <c r="P181" s="35">
        <f t="shared" si="14"/>
        <v>5.9901058689782578E-2</v>
      </c>
    </row>
    <row r="182" spans="1:16">
      <c r="A182" s="20" t="s">
        <v>44</v>
      </c>
      <c r="B182" s="29">
        <v>0.71309999999999996</v>
      </c>
      <c r="C182" s="29">
        <v>4.9000000000000002E-2</v>
      </c>
      <c r="D182" s="29">
        <v>0.18</v>
      </c>
      <c r="E182" s="21">
        <v>177847.16</v>
      </c>
      <c r="F182" s="21">
        <v>234774</v>
      </c>
      <c r="G182" s="21">
        <f t="shared" si="15"/>
        <v>412621.16000000003</v>
      </c>
      <c r="H182" s="21">
        <v>336038.92</v>
      </c>
      <c r="I182" s="21">
        <v>76582.240000000005</v>
      </c>
      <c r="J182" s="27">
        <f t="shared" si="12"/>
        <v>0.18559940067058123</v>
      </c>
      <c r="K182" s="46">
        <v>0</v>
      </c>
      <c r="L182" s="47">
        <v>0</v>
      </c>
      <c r="M182" s="47">
        <v>0</v>
      </c>
      <c r="N182" s="47">
        <f>18542.52+19223.3</f>
        <v>37765.82</v>
      </c>
      <c r="O182" s="32">
        <f t="shared" si="13"/>
        <v>37765.82</v>
      </c>
      <c r="P182" s="35">
        <f t="shared" si="14"/>
        <v>0.16086031673013196</v>
      </c>
    </row>
    <row r="183" spans="1:16" ht="27">
      <c r="A183" s="20" t="s">
        <v>313</v>
      </c>
      <c r="B183" s="29">
        <v>0.56000000000000005</v>
      </c>
      <c r="C183" s="29">
        <v>0.26090000000000002</v>
      </c>
      <c r="D183" s="29" t="s">
        <v>536</v>
      </c>
      <c r="E183" s="21">
        <v>0</v>
      </c>
      <c r="F183" s="21">
        <v>6944</v>
      </c>
      <c r="G183" s="21">
        <f t="shared" si="15"/>
        <v>6944</v>
      </c>
      <c r="H183" s="21">
        <v>0</v>
      </c>
      <c r="I183" s="21">
        <v>6944</v>
      </c>
      <c r="J183" s="27">
        <f t="shared" si="12"/>
        <v>1</v>
      </c>
      <c r="K183" s="46">
        <v>0</v>
      </c>
      <c r="L183" s="47">
        <v>0</v>
      </c>
      <c r="M183" s="47">
        <v>0</v>
      </c>
      <c r="N183" s="47">
        <v>0</v>
      </c>
      <c r="O183" s="32">
        <f t="shared" si="13"/>
        <v>0</v>
      </c>
      <c r="P183" s="33">
        <f t="shared" si="14"/>
        <v>0</v>
      </c>
    </row>
    <row r="184" spans="1:16">
      <c r="A184" s="20" t="s">
        <v>311</v>
      </c>
      <c r="B184" s="29">
        <v>1</v>
      </c>
      <c r="C184" s="29">
        <v>0.80700000000000005</v>
      </c>
      <c r="D184" s="29">
        <v>0.57999999999999996</v>
      </c>
      <c r="E184" s="21">
        <v>2176861.31</v>
      </c>
      <c r="F184" s="21">
        <v>1267776</v>
      </c>
      <c r="G184" s="21">
        <f t="shared" si="15"/>
        <v>3444637.31</v>
      </c>
      <c r="H184" s="21">
        <v>2152942.4</v>
      </c>
      <c r="I184" s="21">
        <v>1183965.8500000001</v>
      </c>
      <c r="J184" s="27">
        <f t="shared" si="12"/>
        <v>0.3437127753806975</v>
      </c>
      <c r="K184" s="46">
        <v>107729.06</v>
      </c>
      <c r="L184" s="47">
        <v>32989.49</v>
      </c>
      <c r="M184" s="47">
        <v>33232.370000000003</v>
      </c>
      <c r="N184" s="47">
        <f>50445.89+75075.73</f>
        <v>125521.62</v>
      </c>
      <c r="O184" s="32">
        <f t="shared" si="13"/>
        <v>191743.47999999998</v>
      </c>
      <c r="P184" s="35">
        <f t="shared" si="14"/>
        <v>0.15124397369882375</v>
      </c>
    </row>
    <row r="185" spans="1:16" ht="27">
      <c r="A185" s="20" t="s">
        <v>375</v>
      </c>
      <c r="B185" s="29">
        <v>0.73939999999999995</v>
      </c>
      <c r="C185" s="29">
        <v>8.09E-2</v>
      </c>
      <c r="D185" s="29">
        <v>0.2</v>
      </c>
      <c r="E185" s="21">
        <v>25218.66</v>
      </c>
      <c r="F185" s="21">
        <v>516832</v>
      </c>
      <c r="G185" s="21">
        <f t="shared" si="15"/>
        <v>542050.66</v>
      </c>
      <c r="H185" s="21">
        <v>519162.51</v>
      </c>
      <c r="I185" s="21">
        <v>22888.15</v>
      </c>
      <c r="J185" s="27">
        <f t="shared" si="12"/>
        <v>4.2225112316992656E-2</v>
      </c>
      <c r="K185" s="46">
        <v>0</v>
      </c>
      <c r="L185" s="47">
        <v>0</v>
      </c>
      <c r="M185" s="47">
        <v>9788.7999999999993</v>
      </c>
      <c r="N185" s="47">
        <v>10000.57</v>
      </c>
      <c r="O185" s="32">
        <f t="shared" si="13"/>
        <v>19789.37</v>
      </c>
      <c r="P185" s="35">
        <f t="shared" si="14"/>
        <v>3.8289753730419165E-2</v>
      </c>
    </row>
    <row r="186" spans="1:16">
      <c r="A186" s="20" t="s">
        <v>207</v>
      </c>
      <c r="B186" s="29">
        <v>0.46589999999999998</v>
      </c>
      <c r="C186" s="29">
        <v>4.8800000000000003E-2</v>
      </c>
      <c r="D186" s="29">
        <v>0.38</v>
      </c>
      <c r="E186" s="21">
        <v>13001.7</v>
      </c>
      <c r="F186" s="21">
        <v>110095</v>
      </c>
      <c r="G186" s="21">
        <f t="shared" si="15"/>
        <v>123096.7</v>
      </c>
      <c r="H186" s="21">
        <v>123096.7</v>
      </c>
      <c r="I186" s="21">
        <v>0</v>
      </c>
      <c r="J186" s="27">
        <f t="shared" si="12"/>
        <v>0</v>
      </c>
      <c r="K186" s="46">
        <v>0</v>
      </c>
      <c r="L186" s="47">
        <v>0</v>
      </c>
      <c r="M186" s="47">
        <v>0</v>
      </c>
      <c r="N186" s="47">
        <v>453.48</v>
      </c>
      <c r="O186" s="32">
        <f t="shared" si="13"/>
        <v>453.48</v>
      </c>
      <c r="P186" s="33">
        <f t="shared" si="14"/>
        <v>4.1189881466006635E-3</v>
      </c>
    </row>
    <row r="187" spans="1:16" ht="27">
      <c r="A187" s="20" t="s">
        <v>436</v>
      </c>
      <c r="B187" s="29">
        <v>0.73980000000000001</v>
      </c>
      <c r="C187" s="29">
        <v>5.3800000000000001E-2</v>
      </c>
      <c r="D187" s="29">
        <v>0.45</v>
      </c>
      <c r="E187" s="21">
        <v>151007.01999999999</v>
      </c>
      <c r="F187" s="21">
        <v>517824</v>
      </c>
      <c r="G187" s="21">
        <f t="shared" si="15"/>
        <v>668831.02</v>
      </c>
      <c r="H187" s="21">
        <v>595382.07999999996</v>
      </c>
      <c r="I187" s="21">
        <v>28448.94</v>
      </c>
      <c r="J187" s="27">
        <f t="shared" si="12"/>
        <v>4.2535317814655187E-2</v>
      </c>
      <c r="K187" s="46">
        <v>45000</v>
      </c>
      <c r="L187" s="47">
        <v>0</v>
      </c>
      <c r="M187" s="47">
        <v>14463.37</v>
      </c>
      <c r="N187" s="47">
        <v>0</v>
      </c>
      <c r="O187" s="32">
        <f t="shared" si="13"/>
        <v>14463.37</v>
      </c>
      <c r="P187" s="35">
        <f t="shared" si="14"/>
        <v>2.793105379433939E-2</v>
      </c>
    </row>
    <row r="188" spans="1:16">
      <c r="A188" s="20" t="s">
        <v>162</v>
      </c>
      <c r="B188" s="29">
        <v>0.46689999999999998</v>
      </c>
      <c r="C188" s="29">
        <v>6.9199999999999998E-2</v>
      </c>
      <c r="D188" s="29">
        <v>0.22</v>
      </c>
      <c r="E188" s="21">
        <v>5344.69</v>
      </c>
      <c r="F188" s="21">
        <v>454336</v>
      </c>
      <c r="G188" s="21">
        <f t="shared" ref="G188:G219" si="16">E188+F188</f>
        <v>459680.69</v>
      </c>
      <c r="H188" s="21">
        <v>360734.05</v>
      </c>
      <c r="I188" s="21">
        <v>98946.64</v>
      </c>
      <c r="J188" s="27">
        <f t="shared" si="12"/>
        <v>0.21525080812074138</v>
      </c>
      <c r="K188" s="46">
        <v>0</v>
      </c>
      <c r="L188" s="47">
        <v>0</v>
      </c>
      <c r="M188" s="47">
        <v>0</v>
      </c>
      <c r="N188" s="47">
        <v>0</v>
      </c>
      <c r="O188" s="32">
        <f t="shared" si="13"/>
        <v>0</v>
      </c>
      <c r="P188" s="33">
        <f t="shared" si="14"/>
        <v>0</v>
      </c>
    </row>
    <row r="189" spans="1:16">
      <c r="A189" s="20" t="s">
        <v>423</v>
      </c>
      <c r="B189" s="29">
        <v>0.82320000000000004</v>
      </c>
      <c r="C189" s="29">
        <v>0.2646</v>
      </c>
      <c r="D189" s="29">
        <v>0.46</v>
      </c>
      <c r="E189" s="21">
        <v>45456.04</v>
      </c>
      <c r="F189" s="21">
        <v>486080</v>
      </c>
      <c r="G189" s="21">
        <f t="shared" si="16"/>
        <v>531536.04</v>
      </c>
      <c r="H189" s="21">
        <v>255323.34</v>
      </c>
      <c r="I189" s="21">
        <v>276212.7</v>
      </c>
      <c r="J189" s="27">
        <f t="shared" si="12"/>
        <v>0.51964999400605083</v>
      </c>
      <c r="K189" s="46">
        <v>0</v>
      </c>
      <c r="L189" s="47">
        <v>0</v>
      </c>
      <c r="M189" s="47">
        <v>8393.8700000000008</v>
      </c>
      <c r="N189" s="47">
        <v>19012.96</v>
      </c>
      <c r="O189" s="32">
        <f t="shared" si="13"/>
        <v>27406.83</v>
      </c>
      <c r="P189" s="35">
        <f t="shared" si="14"/>
        <v>5.6383373107307441E-2</v>
      </c>
    </row>
    <row r="190" spans="1:16">
      <c r="A190" s="20" t="s">
        <v>508</v>
      </c>
      <c r="B190" s="29">
        <v>0.5554</v>
      </c>
      <c r="C190" s="29">
        <v>2.98E-2</v>
      </c>
      <c r="D190" s="29">
        <v>0.24</v>
      </c>
      <c r="E190" s="21">
        <v>28338.59</v>
      </c>
      <c r="F190" s="21">
        <v>184016</v>
      </c>
      <c r="G190" s="21">
        <f t="shared" si="16"/>
        <v>212354.59</v>
      </c>
      <c r="H190" s="21">
        <v>207647.34</v>
      </c>
      <c r="I190" s="21">
        <v>16707.25</v>
      </c>
      <c r="J190" s="27">
        <f t="shared" si="12"/>
        <v>7.8676189669363877E-2</v>
      </c>
      <c r="K190" s="46">
        <v>0</v>
      </c>
      <c r="L190" s="47">
        <v>0</v>
      </c>
      <c r="M190" s="47">
        <v>0</v>
      </c>
      <c r="N190" s="47">
        <v>0</v>
      </c>
      <c r="O190" s="32">
        <f t="shared" si="13"/>
        <v>0</v>
      </c>
      <c r="P190" s="33">
        <f t="shared" si="14"/>
        <v>0</v>
      </c>
    </row>
    <row r="191" spans="1:16">
      <c r="A191" s="20" t="s">
        <v>191</v>
      </c>
      <c r="B191" s="29">
        <v>0.60540000000000005</v>
      </c>
      <c r="C191" s="29">
        <v>8.8300000000000003E-2</v>
      </c>
      <c r="D191" s="29">
        <v>0.3</v>
      </c>
      <c r="E191" s="21">
        <v>131581.82999999999</v>
      </c>
      <c r="F191" s="21">
        <v>806000</v>
      </c>
      <c r="G191" s="21">
        <f t="shared" si="16"/>
        <v>937581.83</v>
      </c>
      <c r="H191" s="21">
        <v>654456.05000000005</v>
      </c>
      <c r="I191" s="21">
        <v>283125.78000000003</v>
      </c>
      <c r="J191" s="27">
        <f t="shared" si="12"/>
        <v>0.30197447405737377</v>
      </c>
      <c r="K191" s="46">
        <v>0</v>
      </c>
      <c r="L191" s="47">
        <v>90925.15</v>
      </c>
      <c r="M191" s="47">
        <v>19728.91</v>
      </c>
      <c r="N191" s="47">
        <v>9800.19</v>
      </c>
      <c r="O191" s="32">
        <f t="shared" si="13"/>
        <v>120454.25</v>
      </c>
      <c r="P191" s="35">
        <f t="shared" si="14"/>
        <v>0.14944696029776675</v>
      </c>
    </row>
    <row r="192" spans="1:16">
      <c r="A192" s="20" t="s">
        <v>277</v>
      </c>
      <c r="B192" s="29">
        <v>0.53810000000000002</v>
      </c>
      <c r="C192" s="29">
        <v>0.13200000000000001</v>
      </c>
      <c r="D192" s="29">
        <v>0.27</v>
      </c>
      <c r="E192" s="21">
        <v>57804.86</v>
      </c>
      <c r="F192" s="21">
        <v>338675</v>
      </c>
      <c r="G192" s="21">
        <f t="shared" si="16"/>
        <v>396479.86</v>
      </c>
      <c r="H192" s="21">
        <v>344576.71</v>
      </c>
      <c r="I192" s="21">
        <v>51903.15</v>
      </c>
      <c r="J192" s="27">
        <f t="shared" si="12"/>
        <v>0.13090992818651623</v>
      </c>
      <c r="K192" s="46">
        <v>0</v>
      </c>
      <c r="L192" s="47">
        <v>0</v>
      </c>
      <c r="M192" s="47">
        <v>24849.27</v>
      </c>
      <c r="N192" s="47">
        <v>36106.78</v>
      </c>
      <c r="O192" s="32">
        <f t="shared" si="13"/>
        <v>60956.05</v>
      </c>
      <c r="P192" s="35">
        <f t="shared" si="14"/>
        <v>0.17998390787628257</v>
      </c>
    </row>
    <row r="193" spans="1:16">
      <c r="A193" s="20" t="s">
        <v>468</v>
      </c>
      <c r="B193" s="29">
        <v>0.29670000000000002</v>
      </c>
      <c r="C193" s="29">
        <v>0.1123</v>
      </c>
      <c r="D193" s="29">
        <v>0.1</v>
      </c>
      <c r="E193" s="21">
        <v>0</v>
      </c>
      <c r="F193" s="21">
        <v>84816</v>
      </c>
      <c r="G193" s="21">
        <f t="shared" si="16"/>
        <v>84816</v>
      </c>
      <c r="H193" s="21">
        <v>97799.85</v>
      </c>
      <c r="I193" s="21">
        <v>794.15</v>
      </c>
      <c r="J193" s="27">
        <f t="shared" si="12"/>
        <v>9.3632097717411805E-3</v>
      </c>
      <c r="K193" s="46">
        <v>0</v>
      </c>
      <c r="L193" s="47">
        <v>0</v>
      </c>
      <c r="M193" s="47">
        <v>0</v>
      </c>
      <c r="N193" s="47">
        <v>0</v>
      </c>
      <c r="O193" s="32">
        <f t="shared" si="13"/>
        <v>0</v>
      </c>
      <c r="P193" s="33">
        <f t="shared" si="14"/>
        <v>0</v>
      </c>
    </row>
    <row r="194" spans="1:16">
      <c r="A194" s="20" t="s">
        <v>32</v>
      </c>
      <c r="B194" s="29">
        <v>0.41499999999999998</v>
      </c>
      <c r="C194" s="29">
        <v>9.0700000000000003E-2</v>
      </c>
      <c r="D194" s="29">
        <v>0.28000000000000003</v>
      </c>
      <c r="E194" s="21">
        <v>0</v>
      </c>
      <c r="F194" s="21">
        <v>329119</v>
      </c>
      <c r="G194" s="21">
        <f t="shared" si="16"/>
        <v>329119</v>
      </c>
      <c r="H194" s="21">
        <v>329119</v>
      </c>
      <c r="I194" s="21">
        <v>0</v>
      </c>
      <c r="J194" s="27">
        <f t="shared" ref="J194:J257" si="17">I194/G194</f>
        <v>0</v>
      </c>
      <c r="K194" s="46">
        <v>0</v>
      </c>
      <c r="L194" s="47">
        <v>0</v>
      </c>
      <c r="M194" s="47">
        <v>0</v>
      </c>
      <c r="N194" s="47">
        <v>0</v>
      </c>
      <c r="O194" s="32">
        <f t="shared" ref="O194:O257" si="18">SUM(L194:N194)</f>
        <v>0</v>
      </c>
      <c r="P194" s="33">
        <f t="shared" ref="P194:P257" si="19">O194/F194</f>
        <v>0</v>
      </c>
    </row>
    <row r="195" spans="1:16">
      <c r="A195" s="20" t="s">
        <v>341</v>
      </c>
      <c r="B195" s="29">
        <v>0.44590000000000002</v>
      </c>
      <c r="C195" s="29">
        <v>3.2000000000000001E-2</v>
      </c>
      <c r="D195" s="29">
        <v>0.38</v>
      </c>
      <c r="E195" s="21">
        <v>40587.11</v>
      </c>
      <c r="F195" s="21">
        <v>230094</v>
      </c>
      <c r="G195" s="21">
        <f t="shared" si="16"/>
        <v>270681.11</v>
      </c>
      <c r="H195" s="21">
        <v>232388.75</v>
      </c>
      <c r="I195" s="21">
        <v>38292.36</v>
      </c>
      <c r="J195" s="27">
        <f t="shared" si="17"/>
        <v>0.14146668749806737</v>
      </c>
      <c r="K195" s="46">
        <v>0</v>
      </c>
      <c r="L195" s="47">
        <v>0</v>
      </c>
      <c r="M195" s="47">
        <v>28992.53</v>
      </c>
      <c r="N195" s="47">
        <v>0</v>
      </c>
      <c r="O195" s="32">
        <f t="shared" si="18"/>
        <v>28992.53</v>
      </c>
      <c r="P195" s="35">
        <f t="shared" si="19"/>
        <v>0.12600298139021443</v>
      </c>
    </row>
    <row r="196" spans="1:16">
      <c r="A196" s="20" t="s">
        <v>72</v>
      </c>
      <c r="B196" s="29">
        <v>0.54339999999999999</v>
      </c>
      <c r="C196" s="29">
        <v>1.7100000000000001E-2</v>
      </c>
      <c r="D196" s="29">
        <v>0.2</v>
      </c>
      <c r="E196" s="21">
        <v>37184.230000000003</v>
      </c>
      <c r="F196" s="21">
        <v>248496</v>
      </c>
      <c r="G196" s="21">
        <f t="shared" si="16"/>
        <v>285680.23</v>
      </c>
      <c r="H196" s="21">
        <v>231856.52</v>
      </c>
      <c r="I196" s="21">
        <v>53823.71</v>
      </c>
      <c r="J196" s="27">
        <f t="shared" si="17"/>
        <v>0.1884054419866576</v>
      </c>
      <c r="K196" s="46">
        <v>0</v>
      </c>
      <c r="L196" s="47">
        <v>0</v>
      </c>
      <c r="M196" s="47">
        <v>0</v>
      </c>
      <c r="N196" s="47">
        <v>2533.0100000000002</v>
      </c>
      <c r="O196" s="32">
        <f t="shared" si="18"/>
        <v>2533.0100000000002</v>
      </c>
      <c r="P196" s="33">
        <f t="shared" si="19"/>
        <v>1.0193363273453094E-2</v>
      </c>
    </row>
    <row r="197" spans="1:16">
      <c r="A197" s="20" t="s">
        <v>237</v>
      </c>
      <c r="B197" s="29">
        <v>0.76459999999999995</v>
      </c>
      <c r="C197" s="29">
        <v>0.98029999999999995</v>
      </c>
      <c r="D197" s="29">
        <v>0.53</v>
      </c>
      <c r="E197" s="21">
        <v>1210195.6599999999</v>
      </c>
      <c r="F197" s="21">
        <v>3881696</v>
      </c>
      <c r="G197" s="21">
        <f t="shared" si="16"/>
        <v>5091891.66</v>
      </c>
      <c r="H197" s="21">
        <v>4482476.92</v>
      </c>
      <c r="I197" s="21">
        <v>394420.42</v>
      </c>
      <c r="J197" s="27">
        <f t="shared" si="17"/>
        <v>7.7460489408763253E-2</v>
      </c>
      <c r="K197" s="46">
        <v>214994.32</v>
      </c>
      <c r="L197" s="47">
        <f>268984.06+197108.6+76980.43</f>
        <v>543073.09000000008</v>
      </c>
      <c r="M197" s="47">
        <f>1826.97+212592.82</f>
        <v>214419.79</v>
      </c>
      <c r="N197" s="47">
        <f>103571.83+44877.92</f>
        <v>148449.75</v>
      </c>
      <c r="O197" s="32">
        <f t="shared" si="18"/>
        <v>905942.63000000012</v>
      </c>
      <c r="P197" s="35">
        <f t="shared" si="19"/>
        <v>0.23338835138042754</v>
      </c>
    </row>
    <row r="198" spans="1:16">
      <c r="A198" s="20" t="s">
        <v>417</v>
      </c>
      <c r="B198" s="29">
        <v>0.59499999999999997</v>
      </c>
      <c r="C198" s="29">
        <v>6.7000000000000004E-2</v>
      </c>
      <c r="D198" s="29">
        <v>0.2</v>
      </c>
      <c r="E198" s="21">
        <v>56203.42</v>
      </c>
      <c r="F198" s="21">
        <v>563952</v>
      </c>
      <c r="G198" s="21">
        <f t="shared" si="16"/>
        <v>620155.42000000004</v>
      </c>
      <c r="H198" s="21">
        <v>528048.35</v>
      </c>
      <c r="I198" s="21">
        <v>82107.070000000007</v>
      </c>
      <c r="J198" s="27">
        <f t="shared" si="17"/>
        <v>0.13239756898359448</v>
      </c>
      <c r="K198" s="46">
        <v>10000</v>
      </c>
      <c r="L198" s="47">
        <v>14081.28</v>
      </c>
      <c r="M198" s="47">
        <v>88775.14</v>
      </c>
      <c r="N198" s="47">
        <v>8718.9699999999993</v>
      </c>
      <c r="O198" s="32">
        <f t="shared" si="18"/>
        <v>111575.39</v>
      </c>
      <c r="P198" s="35">
        <f t="shared" si="19"/>
        <v>0.19784554359236248</v>
      </c>
    </row>
    <row r="199" spans="1:16">
      <c r="A199" s="20" t="s">
        <v>383</v>
      </c>
      <c r="B199" s="29">
        <v>0.41449999999999998</v>
      </c>
      <c r="C199" s="29">
        <v>6.1199999999999997E-2</v>
      </c>
      <c r="D199" s="29">
        <v>0.1</v>
      </c>
      <c r="E199" s="21">
        <v>14359.73</v>
      </c>
      <c r="F199" s="21">
        <v>313872</v>
      </c>
      <c r="G199" s="21">
        <f t="shared" si="16"/>
        <v>328231.73</v>
      </c>
      <c r="H199" s="21">
        <v>310988.28999999998</v>
      </c>
      <c r="I199" s="21">
        <v>17243.439999999999</v>
      </c>
      <c r="J199" s="27">
        <f t="shared" si="17"/>
        <v>5.2534348217949556E-2</v>
      </c>
      <c r="K199" s="46">
        <v>0</v>
      </c>
      <c r="L199" s="47">
        <v>0</v>
      </c>
      <c r="M199" s="47">
        <v>0</v>
      </c>
      <c r="N199" s="47">
        <v>0</v>
      </c>
      <c r="O199" s="32">
        <f t="shared" si="18"/>
        <v>0</v>
      </c>
      <c r="P199" s="33">
        <f t="shared" si="19"/>
        <v>0</v>
      </c>
    </row>
    <row r="200" spans="1:16">
      <c r="A200" s="20" t="s">
        <v>183</v>
      </c>
      <c r="B200" s="29">
        <v>0.5635</v>
      </c>
      <c r="C200" s="29">
        <v>2.76E-2</v>
      </c>
      <c r="D200" s="29">
        <v>0.36</v>
      </c>
      <c r="E200" s="21">
        <v>5844.02</v>
      </c>
      <c r="F200" s="21">
        <v>151287</v>
      </c>
      <c r="G200" s="21">
        <f t="shared" si="16"/>
        <v>157131.01999999999</v>
      </c>
      <c r="H200" s="21">
        <v>115513.12</v>
      </c>
      <c r="I200" s="21">
        <v>4617.8999999999996</v>
      </c>
      <c r="J200" s="27">
        <f t="shared" si="17"/>
        <v>2.9388850145566418E-2</v>
      </c>
      <c r="K200" s="46">
        <v>37000</v>
      </c>
      <c r="L200" s="47">
        <v>0</v>
      </c>
      <c r="M200" s="47">
        <v>0</v>
      </c>
      <c r="N200" s="47">
        <v>0</v>
      </c>
      <c r="O200" s="32">
        <f t="shared" si="18"/>
        <v>0</v>
      </c>
      <c r="P200" s="33">
        <f t="shared" si="19"/>
        <v>0</v>
      </c>
    </row>
    <row r="201" spans="1:16">
      <c r="A201" s="20" t="s">
        <v>490</v>
      </c>
      <c r="B201" s="29">
        <v>0.39739999999999998</v>
      </c>
      <c r="C201" s="29">
        <v>6.1899999999999997E-2</v>
      </c>
      <c r="D201" s="29">
        <v>0.21</v>
      </c>
      <c r="E201" s="21">
        <v>49056.56</v>
      </c>
      <c r="F201" s="21">
        <v>333434</v>
      </c>
      <c r="G201" s="21">
        <f t="shared" si="16"/>
        <v>382490.56</v>
      </c>
      <c r="H201" s="21">
        <v>339220.37</v>
      </c>
      <c r="I201" s="21">
        <v>30375.19</v>
      </c>
      <c r="J201" s="27">
        <f t="shared" si="17"/>
        <v>7.941422136012978E-2</v>
      </c>
      <c r="K201" s="46">
        <v>12895</v>
      </c>
      <c r="L201" s="47">
        <v>0</v>
      </c>
      <c r="M201" s="47">
        <v>33416.239999999998</v>
      </c>
      <c r="N201" s="47">
        <v>21562.9</v>
      </c>
      <c r="O201" s="32">
        <f t="shared" si="18"/>
        <v>54979.14</v>
      </c>
      <c r="P201" s="35">
        <f t="shared" si="19"/>
        <v>0.16488762393757087</v>
      </c>
    </row>
    <row r="202" spans="1:16">
      <c r="A202" s="20" t="s">
        <v>323</v>
      </c>
      <c r="B202" s="29">
        <v>0.70930000000000004</v>
      </c>
      <c r="C202" s="29">
        <v>0.45710000000000001</v>
      </c>
      <c r="D202" s="29">
        <v>0.19</v>
      </c>
      <c r="E202" s="21">
        <v>1669.84</v>
      </c>
      <c r="F202" s="21">
        <v>529895</v>
      </c>
      <c r="G202" s="21">
        <f t="shared" si="16"/>
        <v>531564.84</v>
      </c>
      <c r="H202" s="21">
        <v>434453.96</v>
      </c>
      <c r="I202" s="21">
        <v>97110.88</v>
      </c>
      <c r="J202" s="27">
        <f t="shared" si="17"/>
        <v>0.18268868196775395</v>
      </c>
      <c r="K202" s="46">
        <v>0</v>
      </c>
      <c r="L202" s="47">
        <v>0</v>
      </c>
      <c r="M202" s="47">
        <v>1282.79</v>
      </c>
      <c r="N202" s="47">
        <v>1516.72</v>
      </c>
      <c r="O202" s="32">
        <f t="shared" si="18"/>
        <v>2799.51</v>
      </c>
      <c r="P202" s="33">
        <f t="shared" si="19"/>
        <v>5.2831409996320026E-3</v>
      </c>
    </row>
    <row r="203" spans="1:16">
      <c r="A203" s="20" t="s">
        <v>395</v>
      </c>
      <c r="B203" s="29">
        <v>0.55410000000000004</v>
      </c>
      <c r="C203" s="29">
        <v>0.50649999999999995</v>
      </c>
      <c r="D203" s="29">
        <v>0.34</v>
      </c>
      <c r="E203" s="21">
        <v>0</v>
      </c>
      <c r="F203" s="21">
        <v>4208560</v>
      </c>
      <c r="G203" s="21">
        <f t="shared" si="16"/>
        <v>4208560</v>
      </c>
      <c r="H203" s="21">
        <v>3862140.45</v>
      </c>
      <c r="I203" s="21">
        <v>346419.55</v>
      </c>
      <c r="J203" s="27">
        <f t="shared" si="17"/>
        <v>8.2313083334917408E-2</v>
      </c>
      <c r="K203" s="46">
        <v>0</v>
      </c>
      <c r="L203" s="47">
        <v>0</v>
      </c>
      <c r="M203" s="47">
        <v>0</v>
      </c>
      <c r="N203" s="47">
        <f>287+29806.03</f>
        <v>30093.03</v>
      </c>
      <c r="O203" s="32">
        <f t="shared" si="18"/>
        <v>30093.03</v>
      </c>
      <c r="P203" s="35">
        <f t="shared" si="19"/>
        <v>7.1504338776208487E-3</v>
      </c>
    </row>
    <row r="204" spans="1:16">
      <c r="A204" s="20" t="s">
        <v>80</v>
      </c>
      <c r="B204" s="29">
        <v>0.5131</v>
      </c>
      <c r="C204" s="29">
        <v>6.3700000000000007E-2</v>
      </c>
      <c r="D204" s="29">
        <v>0.35</v>
      </c>
      <c r="E204" s="21">
        <v>5602.29</v>
      </c>
      <c r="F204" s="21">
        <v>131936</v>
      </c>
      <c r="G204" s="21">
        <f t="shared" si="16"/>
        <v>137538.29</v>
      </c>
      <c r="H204" s="21">
        <v>137538.29</v>
      </c>
      <c r="I204" s="21">
        <v>0</v>
      </c>
      <c r="J204" s="27">
        <f t="shared" si="17"/>
        <v>0</v>
      </c>
      <c r="K204" s="46">
        <v>0</v>
      </c>
      <c r="L204" s="47">
        <v>0</v>
      </c>
      <c r="M204" s="47">
        <v>0</v>
      </c>
      <c r="N204" s="47">
        <v>16417.78</v>
      </c>
      <c r="O204" s="32">
        <f t="shared" si="18"/>
        <v>16417.78</v>
      </c>
      <c r="P204" s="35">
        <f t="shared" si="19"/>
        <v>0.12443745452340528</v>
      </c>
    </row>
    <row r="205" spans="1:16">
      <c r="A205" s="20" t="s">
        <v>74</v>
      </c>
      <c r="B205" s="29">
        <v>0.52129999999999999</v>
      </c>
      <c r="C205" s="29">
        <v>1.6999999999999999E-3</v>
      </c>
      <c r="D205" s="29">
        <v>0.36</v>
      </c>
      <c r="E205" s="21">
        <v>8960.1200000000008</v>
      </c>
      <c r="F205" s="21">
        <v>163184</v>
      </c>
      <c r="G205" s="21">
        <f t="shared" si="16"/>
        <v>172144.12</v>
      </c>
      <c r="H205" s="21">
        <v>138387.51999999999</v>
      </c>
      <c r="I205" s="21">
        <v>33756.6</v>
      </c>
      <c r="J205" s="27">
        <f t="shared" si="17"/>
        <v>0.19609499296287319</v>
      </c>
      <c r="K205" s="46">
        <v>0</v>
      </c>
      <c r="L205" s="47">
        <v>0</v>
      </c>
      <c r="M205" s="47">
        <v>0</v>
      </c>
      <c r="N205" s="47">
        <v>0</v>
      </c>
      <c r="O205" s="32">
        <f t="shared" si="18"/>
        <v>0</v>
      </c>
      <c r="P205" s="33">
        <f t="shared" si="19"/>
        <v>0</v>
      </c>
    </row>
    <row r="206" spans="1:16">
      <c r="A206" s="20" t="s">
        <v>112</v>
      </c>
      <c r="B206" s="29">
        <v>0.59199999999999997</v>
      </c>
      <c r="C206" s="29">
        <v>4.1000000000000002E-2</v>
      </c>
      <c r="D206" s="29">
        <v>0.18</v>
      </c>
      <c r="E206" s="21">
        <v>173306.46</v>
      </c>
      <c r="F206" s="21">
        <v>231136</v>
      </c>
      <c r="G206" s="21">
        <f t="shared" si="16"/>
        <v>404442.45999999996</v>
      </c>
      <c r="H206" s="21">
        <v>154707.59</v>
      </c>
      <c r="I206" s="21">
        <v>249734.87</v>
      </c>
      <c r="J206" s="27">
        <f t="shared" si="17"/>
        <v>0.61747935664321696</v>
      </c>
      <c r="K206" s="46">
        <v>0</v>
      </c>
      <c r="L206" s="47">
        <v>0</v>
      </c>
      <c r="M206" s="47">
        <v>0</v>
      </c>
      <c r="N206" s="47">
        <v>2863.9</v>
      </c>
      <c r="O206" s="32">
        <f t="shared" si="18"/>
        <v>2863.9</v>
      </c>
      <c r="P206" s="35">
        <f t="shared" si="19"/>
        <v>1.239054063408556E-2</v>
      </c>
    </row>
    <row r="207" spans="1:16">
      <c r="A207" s="20" t="s">
        <v>506</v>
      </c>
      <c r="B207" s="29">
        <v>0.7</v>
      </c>
      <c r="C207" s="29">
        <v>0.25790000000000002</v>
      </c>
      <c r="D207" s="29">
        <v>0.13</v>
      </c>
      <c r="E207" s="21">
        <v>32363.35</v>
      </c>
      <c r="F207" s="21">
        <v>591890</v>
      </c>
      <c r="G207" s="21">
        <f t="shared" si="16"/>
        <v>624253.35</v>
      </c>
      <c r="H207" s="21">
        <v>599254.23</v>
      </c>
      <c r="I207" s="21">
        <v>24999.119999999999</v>
      </c>
      <c r="J207" s="27">
        <f t="shared" si="17"/>
        <v>4.0046433070803703E-2</v>
      </c>
      <c r="K207" s="46">
        <v>0</v>
      </c>
      <c r="L207" s="47">
        <v>0</v>
      </c>
      <c r="M207" s="47">
        <v>4781.9799999999996</v>
      </c>
      <c r="N207" s="47">
        <v>45900.65</v>
      </c>
      <c r="O207" s="32">
        <f t="shared" si="18"/>
        <v>50682.630000000005</v>
      </c>
      <c r="P207" s="35">
        <f t="shared" si="19"/>
        <v>8.562846136951123E-2</v>
      </c>
    </row>
    <row r="208" spans="1:16">
      <c r="A208" s="20" t="s">
        <v>28</v>
      </c>
      <c r="B208" s="29">
        <v>0.57520000000000004</v>
      </c>
      <c r="C208" s="29">
        <v>0.46560000000000001</v>
      </c>
      <c r="D208" s="29">
        <v>0.21</v>
      </c>
      <c r="E208" s="21">
        <v>93909.11</v>
      </c>
      <c r="F208" s="21">
        <v>3667831</v>
      </c>
      <c r="G208" s="21">
        <f t="shared" si="16"/>
        <v>3761740.11</v>
      </c>
      <c r="H208" s="21">
        <v>1747836.48</v>
      </c>
      <c r="I208" s="21">
        <v>1.53</v>
      </c>
      <c r="J208" s="27">
        <f t="shared" si="17"/>
        <v>4.0672666246472834E-7</v>
      </c>
      <c r="K208" s="46">
        <v>2013902.1</v>
      </c>
      <c r="L208" s="47">
        <v>0</v>
      </c>
      <c r="M208" s="47">
        <v>340273</v>
      </c>
      <c r="N208" s="47">
        <v>5631.11</v>
      </c>
      <c r="O208" s="32">
        <f t="shared" si="18"/>
        <v>345904.11</v>
      </c>
      <c r="P208" s="35">
        <f t="shared" si="19"/>
        <v>9.4307537615555354E-2</v>
      </c>
    </row>
    <row r="209" spans="1:16">
      <c r="A209" s="20" t="s">
        <v>510</v>
      </c>
      <c r="B209" s="29">
        <v>0.53210000000000002</v>
      </c>
      <c r="C209" s="29">
        <v>6.3299999999999995E-2</v>
      </c>
      <c r="D209" s="29">
        <v>0.26</v>
      </c>
      <c r="E209" s="21">
        <v>46588.52</v>
      </c>
      <c r="F209" s="21">
        <v>207824</v>
      </c>
      <c r="G209" s="21">
        <f t="shared" si="16"/>
        <v>254412.52</v>
      </c>
      <c r="H209" s="21">
        <v>206412.52</v>
      </c>
      <c r="I209" s="21">
        <v>0</v>
      </c>
      <c r="J209" s="27">
        <f t="shared" si="17"/>
        <v>0</v>
      </c>
      <c r="K209" s="46">
        <v>48000</v>
      </c>
      <c r="L209" s="47">
        <v>0</v>
      </c>
      <c r="M209" s="47">
        <v>0</v>
      </c>
      <c r="N209" s="47">
        <v>0</v>
      </c>
      <c r="O209" s="32">
        <f t="shared" si="18"/>
        <v>0</v>
      </c>
      <c r="P209" s="33">
        <f t="shared" si="19"/>
        <v>0</v>
      </c>
    </row>
    <row r="210" spans="1:16">
      <c r="A210" s="20" t="s">
        <v>385</v>
      </c>
      <c r="B210" s="29">
        <v>0.54049999999999998</v>
      </c>
      <c r="C210" s="29">
        <v>0.3659</v>
      </c>
      <c r="D210" s="29">
        <v>0.27</v>
      </c>
      <c r="E210" s="21">
        <v>1479.47</v>
      </c>
      <c r="F210" s="21">
        <v>1223136</v>
      </c>
      <c r="G210" s="21">
        <f t="shared" si="16"/>
        <v>1224615.47</v>
      </c>
      <c r="H210" s="21">
        <v>1061615.47</v>
      </c>
      <c r="I210" s="21">
        <v>0</v>
      </c>
      <c r="J210" s="27">
        <f t="shared" si="17"/>
        <v>0</v>
      </c>
      <c r="K210" s="46">
        <v>163000</v>
      </c>
      <c r="L210" s="47">
        <v>0</v>
      </c>
      <c r="M210" s="47">
        <v>0</v>
      </c>
      <c r="N210" s="47">
        <v>44552.59</v>
      </c>
      <c r="O210" s="32">
        <f t="shared" si="18"/>
        <v>44552.59</v>
      </c>
      <c r="P210" s="35">
        <f t="shared" si="19"/>
        <v>3.6424886521204507E-2</v>
      </c>
    </row>
    <row r="211" spans="1:16">
      <c r="A211" s="20" t="s">
        <v>166</v>
      </c>
      <c r="B211" s="29">
        <v>0.59809999999999997</v>
      </c>
      <c r="C211" s="29">
        <v>5.6099999999999997E-2</v>
      </c>
      <c r="D211" s="29">
        <v>0.11</v>
      </c>
      <c r="E211" s="21">
        <v>28401.63</v>
      </c>
      <c r="F211" s="21">
        <v>225571</v>
      </c>
      <c r="G211" s="21">
        <f t="shared" si="16"/>
        <v>253972.63</v>
      </c>
      <c r="H211" s="21">
        <v>178966.22</v>
      </c>
      <c r="I211" s="21">
        <v>22006.41</v>
      </c>
      <c r="J211" s="27">
        <f t="shared" si="17"/>
        <v>8.6648746362944701E-2</v>
      </c>
      <c r="K211" s="46">
        <v>53000</v>
      </c>
      <c r="L211" s="47">
        <v>0</v>
      </c>
      <c r="M211" s="47">
        <v>0</v>
      </c>
      <c r="N211" s="47">
        <v>27094.880000000001</v>
      </c>
      <c r="O211" s="32">
        <f t="shared" si="18"/>
        <v>27094.880000000001</v>
      </c>
      <c r="P211" s="35">
        <f t="shared" si="19"/>
        <v>0.12011685899339898</v>
      </c>
    </row>
    <row r="212" spans="1:16" ht="27">
      <c r="A212" s="20" t="s">
        <v>8</v>
      </c>
      <c r="B212" s="29">
        <v>0.79410000000000003</v>
      </c>
      <c r="C212" s="29">
        <v>0.44440000000000002</v>
      </c>
      <c r="D212" s="29" t="s">
        <v>536</v>
      </c>
      <c r="E212" s="21">
        <v>0</v>
      </c>
      <c r="F212" s="21">
        <v>26784</v>
      </c>
      <c r="G212" s="21">
        <f t="shared" si="16"/>
        <v>26784</v>
      </c>
      <c r="H212" s="21">
        <v>0</v>
      </c>
      <c r="I212" s="21">
        <v>26784</v>
      </c>
      <c r="J212" s="27">
        <f t="shared" si="17"/>
        <v>1</v>
      </c>
      <c r="K212" s="46">
        <v>0</v>
      </c>
      <c r="L212" s="47">
        <v>0</v>
      </c>
      <c r="M212" s="47">
        <v>0</v>
      </c>
      <c r="N212" s="47">
        <v>0</v>
      </c>
      <c r="O212" s="32">
        <f t="shared" si="18"/>
        <v>0</v>
      </c>
      <c r="P212" s="33">
        <f t="shared" si="19"/>
        <v>0</v>
      </c>
    </row>
    <row r="213" spans="1:16">
      <c r="A213" s="20" t="s">
        <v>279</v>
      </c>
      <c r="B213" s="29">
        <v>0.47749999999999998</v>
      </c>
      <c r="C213" s="29">
        <v>3.9199999999999999E-2</v>
      </c>
      <c r="D213" s="29">
        <v>0.16</v>
      </c>
      <c r="E213" s="21">
        <v>3354.13</v>
      </c>
      <c r="F213" s="21">
        <v>99696</v>
      </c>
      <c r="G213" s="21">
        <f t="shared" si="16"/>
        <v>103050.13</v>
      </c>
      <c r="H213" s="21">
        <v>100043.08</v>
      </c>
      <c r="I213" s="21">
        <v>3007.05</v>
      </c>
      <c r="J213" s="27">
        <f t="shared" si="17"/>
        <v>2.918045809355117E-2</v>
      </c>
      <c r="K213" s="46">
        <v>0</v>
      </c>
      <c r="L213" s="47">
        <v>0</v>
      </c>
      <c r="M213" s="47">
        <v>0</v>
      </c>
      <c r="N213" s="47">
        <v>0</v>
      </c>
      <c r="O213" s="32">
        <f t="shared" si="18"/>
        <v>0</v>
      </c>
      <c r="P213" s="33">
        <f t="shared" si="19"/>
        <v>0</v>
      </c>
    </row>
    <row r="214" spans="1:16" ht="27">
      <c r="A214" s="20" t="s">
        <v>434</v>
      </c>
      <c r="B214" s="29">
        <v>0.7218</v>
      </c>
      <c r="C214" s="29">
        <v>3.78E-2</v>
      </c>
      <c r="D214" s="29">
        <v>0.15</v>
      </c>
      <c r="E214" s="21">
        <v>423171.94</v>
      </c>
      <c r="F214" s="21">
        <v>711264</v>
      </c>
      <c r="G214" s="21">
        <f t="shared" si="16"/>
        <v>1134435.94</v>
      </c>
      <c r="H214" s="21">
        <v>702741.2</v>
      </c>
      <c r="I214" s="21">
        <v>252418.74</v>
      </c>
      <c r="J214" s="27">
        <f t="shared" si="17"/>
        <v>0.22250594423163286</v>
      </c>
      <c r="K214" s="46">
        <v>0</v>
      </c>
      <c r="L214" s="47">
        <v>0</v>
      </c>
      <c r="M214" s="47">
        <v>18262.490000000002</v>
      </c>
      <c r="N214" s="47">
        <v>0</v>
      </c>
      <c r="O214" s="32">
        <f t="shared" si="18"/>
        <v>18262.490000000002</v>
      </c>
      <c r="P214" s="35">
        <f t="shared" si="19"/>
        <v>2.5676106199667075E-2</v>
      </c>
    </row>
    <row r="215" spans="1:16">
      <c r="A215" s="20" t="s">
        <v>512</v>
      </c>
      <c r="B215" s="29">
        <v>0.41310000000000002</v>
      </c>
      <c r="C215" s="29">
        <v>0.1958</v>
      </c>
      <c r="D215" s="29">
        <v>0.2</v>
      </c>
      <c r="E215" s="21">
        <v>390690.43</v>
      </c>
      <c r="F215" s="21">
        <v>775744</v>
      </c>
      <c r="G215" s="21">
        <f t="shared" si="16"/>
        <v>1166434.43</v>
      </c>
      <c r="H215" s="21">
        <v>709256</v>
      </c>
      <c r="I215" s="21">
        <v>366238.9</v>
      </c>
      <c r="J215" s="27">
        <f t="shared" si="17"/>
        <v>0.31398155831185476</v>
      </c>
      <c r="K215" s="46">
        <v>90939.53</v>
      </c>
      <c r="L215" s="47">
        <v>0</v>
      </c>
      <c r="M215" s="47">
        <v>37262.9</v>
      </c>
      <c r="N215" s="47">
        <f>50499.7+2874.26</f>
        <v>53373.96</v>
      </c>
      <c r="O215" s="32">
        <f t="shared" si="18"/>
        <v>90636.86</v>
      </c>
      <c r="P215" s="35">
        <f t="shared" si="19"/>
        <v>0.11683862201963534</v>
      </c>
    </row>
    <row r="216" spans="1:16">
      <c r="A216" s="20" t="s">
        <v>185</v>
      </c>
      <c r="B216" s="29">
        <v>0.41420000000000001</v>
      </c>
      <c r="C216" s="29">
        <v>6.5799999999999997E-2</v>
      </c>
      <c r="D216" s="29">
        <v>0.26</v>
      </c>
      <c r="E216" s="21">
        <v>151061.15</v>
      </c>
      <c r="F216" s="21">
        <v>823856</v>
      </c>
      <c r="G216" s="21">
        <f t="shared" si="16"/>
        <v>974917.15</v>
      </c>
      <c r="H216" s="21">
        <v>658868.34</v>
      </c>
      <c r="I216" s="21">
        <v>316048.81</v>
      </c>
      <c r="J216" s="27">
        <f t="shared" si="17"/>
        <v>0.32418017264338822</v>
      </c>
      <c r="K216" s="46">
        <v>0</v>
      </c>
      <c r="L216" s="47">
        <v>0</v>
      </c>
      <c r="M216" s="47">
        <v>125862.38</v>
      </c>
      <c r="N216" s="47">
        <f>20975.57+44823.88</f>
        <v>65799.45</v>
      </c>
      <c r="O216" s="32">
        <f t="shared" si="18"/>
        <v>191661.83000000002</v>
      </c>
      <c r="P216" s="35">
        <f t="shared" si="19"/>
        <v>0.23263996378007809</v>
      </c>
    </row>
    <row r="217" spans="1:16">
      <c r="A217" s="20" t="s">
        <v>476</v>
      </c>
      <c r="B217" s="29">
        <v>0.72350000000000003</v>
      </c>
      <c r="C217" s="29">
        <v>7.5600000000000001E-2</v>
      </c>
      <c r="D217" s="29">
        <v>0.23</v>
      </c>
      <c r="E217" s="21">
        <v>27418.1</v>
      </c>
      <c r="F217" s="21">
        <v>347200</v>
      </c>
      <c r="G217" s="21">
        <f t="shared" si="16"/>
        <v>374618.1</v>
      </c>
      <c r="H217" s="21">
        <v>314371.27</v>
      </c>
      <c r="I217" s="21">
        <v>60246.83</v>
      </c>
      <c r="J217" s="27">
        <f t="shared" si="17"/>
        <v>0.16082199445248377</v>
      </c>
      <c r="K217" s="46">
        <v>0</v>
      </c>
      <c r="L217" s="47">
        <v>0</v>
      </c>
      <c r="M217" s="47">
        <v>0</v>
      </c>
      <c r="N217" s="47">
        <v>0</v>
      </c>
      <c r="O217" s="32">
        <f t="shared" si="18"/>
        <v>0</v>
      </c>
      <c r="P217" s="33">
        <f t="shared" si="19"/>
        <v>0</v>
      </c>
    </row>
    <row r="218" spans="1:16" ht="27">
      <c r="A218" s="20" t="s">
        <v>30</v>
      </c>
      <c r="B218" s="29">
        <v>0.49859999999999999</v>
      </c>
      <c r="C218" s="29">
        <v>0.34549999999999997</v>
      </c>
      <c r="D218" s="29">
        <v>0.28999999999999998</v>
      </c>
      <c r="E218" s="21">
        <v>153289.78</v>
      </c>
      <c r="F218" s="21">
        <v>924346</v>
      </c>
      <c r="G218" s="21">
        <f t="shared" si="16"/>
        <v>1077635.78</v>
      </c>
      <c r="H218" s="21">
        <v>744751.8</v>
      </c>
      <c r="I218" s="21">
        <v>125874.98</v>
      </c>
      <c r="J218" s="27">
        <f t="shared" si="17"/>
        <v>0.11680660788749979</v>
      </c>
      <c r="K218" s="46">
        <v>207009</v>
      </c>
      <c r="L218" s="47">
        <v>0</v>
      </c>
      <c r="M218" s="47">
        <v>82966.31</v>
      </c>
      <c r="N218" s="47">
        <f>4591.9+23041.35</f>
        <v>27633.25</v>
      </c>
      <c r="O218" s="32">
        <f t="shared" si="18"/>
        <v>110599.56</v>
      </c>
      <c r="P218" s="35">
        <f t="shared" si="19"/>
        <v>0.11965168886975223</v>
      </c>
    </row>
    <row r="219" spans="1:16">
      <c r="A219" s="20" t="s">
        <v>257</v>
      </c>
      <c r="B219" s="29">
        <v>0.65490000000000004</v>
      </c>
      <c r="C219" s="29">
        <v>2.9899999999999999E-2</v>
      </c>
      <c r="D219" s="29">
        <v>0.41</v>
      </c>
      <c r="E219" s="21">
        <v>248138.68</v>
      </c>
      <c r="F219" s="21">
        <v>236098</v>
      </c>
      <c r="G219" s="21">
        <f t="shared" si="16"/>
        <v>484236.68</v>
      </c>
      <c r="H219" s="21">
        <v>317261.63</v>
      </c>
      <c r="I219" s="21">
        <v>166975.04999999999</v>
      </c>
      <c r="J219" s="27">
        <f t="shared" si="17"/>
        <v>0.34482115233401978</v>
      </c>
      <c r="K219" s="46">
        <v>0</v>
      </c>
      <c r="L219" s="47">
        <v>0</v>
      </c>
      <c r="M219" s="47">
        <v>35739.599999999999</v>
      </c>
      <c r="N219" s="47">
        <v>0</v>
      </c>
      <c r="O219" s="32">
        <f t="shared" si="18"/>
        <v>35739.599999999999</v>
      </c>
      <c r="P219" s="35">
        <f t="shared" si="19"/>
        <v>0.15137612347415055</v>
      </c>
    </row>
    <row r="220" spans="1:16">
      <c r="A220" s="20" t="s">
        <v>470</v>
      </c>
      <c r="B220" s="29">
        <v>0.43990000000000001</v>
      </c>
      <c r="C220" s="29">
        <v>0.26390000000000002</v>
      </c>
      <c r="D220" s="29">
        <v>0.28999999999999998</v>
      </c>
      <c r="E220" s="21">
        <v>23629.11</v>
      </c>
      <c r="F220" s="21">
        <v>194928</v>
      </c>
      <c r="G220" s="21">
        <f t="shared" ref="G220:G251" si="20">E220+F220</f>
        <v>218557.11</v>
      </c>
      <c r="H220" s="21">
        <v>215959.51</v>
      </c>
      <c r="I220" s="21">
        <v>2597.6</v>
      </c>
      <c r="J220" s="27">
        <f t="shared" si="17"/>
        <v>1.1885223043075561E-2</v>
      </c>
      <c r="K220" s="46">
        <v>0</v>
      </c>
      <c r="L220" s="47">
        <v>0</v>
      </c>
      <c r="M220" s="47">
        <v>0</v>
      </c>
      <c r="N220" s="47">
        <v>6455.53</v>
      </c>
      <c r="O220" s="32">
        <f t="shared" si="18"/>
        <v>6455.53</v>
      </c>
      <c r="P220" s="35">
        <f t="shared" si="19"/>
        <v>3.3117510054994664E-2</v>
      </c>
    </row>
    <row r="221" spans="1:16" ht="27">
      <c r="A221" s="20" t="s">
        <v>96</v>
      </c>
      <c r="B221" s="29">
        <v>0.61129999999999995</v>
      </c>
      <c r="C221" s="29">
        <v>0.31040000000000001</v>
      </c>
      <c r="D221" s="29">
        <v>0.22</v>
      </c>
      <c r="E221" s="21">
        <v>86749.86</v>
      </c>
      <c r="F221" s="21">
        <v>683488</v>
      </c>
      <c r="G221" s="21">
        <f t="shared" si="20"/>
        <v>770237.86</v>
      </c>
      <c r="H221" s="21">
        <v>485296.24</v>
      </c>
      <c r="I221" s="21">
        <v>171512.54</v>
      </c>
      <c r="J221" s="27">
        <f t="shared" si="17"/>
        <v>0.22267477218011592</v>
      </c>
      <c r="K221" s="46">
        <v>113429.08</v>
      </c>
      <c r="L221" s="47">
        <v>0</v>
      </c>
      <c r="M221" s="47">
        <v>76893.23</v>
      </c>
      <c r="N221" s="47">
        <v>145.33000000000001</v>
      </c>
      <c r="O221" s="32">
        <f t="shared" si="18"/>
        <v>77038.559999999998</v>
      </c>
      <c r="P221" s="35">
        <f t="shared" si="19"/>
        <v>0.1127138442810993</v>
      </c>
    </row>
    <row r="222" spans="1:16">
      <c r="A222" s="20" t="s">
        <v>305</v>
      </c>
      <c r="B222" s="29">
        <v>0.72019999999999995</v>
      </c>
      <c r="C222" s="29">
        <v>0.36480000000000001</v>
      </c>
      <c r="D222" s="29">
        <v>0.38</v>
      </c>
      <c r="E222" s="21">
        <v>172309.25</v>
      </c>
      <c r="F222" s="21">
        <v>887840</v>
      </c>
      <c r="G222" s="21">
        <f t="shared" si="20"/>
        <v>1060149.25</v>
      </c>
      <c r="H222" s="21">
        <v>908225.86</v>
      </c>
      <c r="I222" s="21">
        <v>151923.39000000001</v>
      </c>
      <c r="J222" s="27">
        <f t="shared" si="17"/>
        <v>0.14330377538822955</v>
      </c>
      <c r="K222" s="46">
        <v>0</v>
      </c>
      <c r="L222" s="47">
        <v>57475.77</v>
      </c>
      <c r="M222" s="47">
        <v>39971.72</v>
      </c>
      <c r="N222" s="47">
        <f>74858.84+6489.88</f>
        <v>81348.72</v>
      </c>
      <c r="O222" s="32">
        <f t="shared" si="18"/>
        <v>178796.21</v>
      </c>
      <c r="P222" s="35">
        <f t="shared" si="19"/>
        <v>0.20138336862497747</v>
      </c>
    </row>
    <row r="223" spans="1:16">
      <c r="A223" s="20" t="s">
        <v>478</v>
      </c>
      <c r="B223" s="29">
        <v>0.53320000000000001</v>
      </c>
      <c r="C223" s="29">
        <v>4.8800000000000003E-2</v>
      </c>
      <c r="D223" s="29">
        <v>0.43</v>
      </c>
      <c r="E223" s="21">
        <v>26469.61</v>
      </c>
      <c r="F223" s="21">
        <v>144892</v>
      </c>
      <c r="G223" s="21">
        <f t="shared" si="20"/>
        <v>171361.61</v>
      </c>
      <c r="H223" s="21">
        <v>158358.65</v>
      </c>
      <c r="I223" s="21">
        <v>13002.96</v>
      </c>
      <c r="J223" s="27">
        <f t="shared" si="17"/>
        <v>7.5880239453866016E-2</v>
      </c>
      <c r="K223" s="46">
        <v>0</v>
      </c>
      <c r="L223" s="47">
        <v>0</v>
      </c>
      <c r="M223" s="47">
        <v>0</v>
      </c>
      <c r="N223" s="47">
        <v>7750.6</v>
      </c>
      <c r="O223" s="32">
        <f t="shared" si="18"/>
        <v>7750.6</v>
      </c>
      <c r="P223" s="35">
        <f t="shared" si="19"/>
        <v>5.3492256301245066E-2</v>
      </c>
    </row>
    <row r="224" spans="1:16">
      <c r="A224" s="20" t="s">
        <v>219</v>
      </c>
      <c r="B224" s="29">
        <v>0.55820000000000003</v>
      </c>
      <c r="C224" s="29">
        <v>6.4600000000000005E-2</v>
      </c>
      <c r="D224" s="29">
        <v>0.17</v>
      </c>
      <c r="E224" s="21">
        <v>38972.19</v>
      </c>
      <c r="F224" s="21">
        <v>423088</v>
      </c>
      <c r="G224" s="21">
        <f t="shared" si="20"/>
        <v>462060.19</v>
      </c>
      <c r="H224" s="21">
        <v>307331.3</v>
      </c>
      <c r="I224" s="21">
        <v>34098.050000000003</v>
      </c>
      <c r="J224" s="27">
        <f t="shared" si="17"/>
        <v>7.379568882573502E-2</v>
      </c>
      <c r="K224" s="46">
        <v>0</v>
      </c>
      <c r="L224" s="47">
        <f>21004.94+4979.06</f>
        <v>25984</v>
      </c>
      <c r="M224" s="47">
        <v>25896.9</v>
      </c>
      <c r="N224" s="47">
        <v>3037.25</v>
      </c>
      <c r="O224" s="32">
        <f t="shared" si="18"/>
        <v>54918.15</v>
      </c>
      <c r="P224" s="35">
        <f t="shared" si="19"/>
        <v>0.12980313788148093</v>
      </c>
    </row>
    <row r="225" spans="1:16">
      <c r="A225" s="20" t="s">
        <v>197</v>
      </c>
      <c r="B225" s="29">
        <v>0.50309999999999999</v>
      </c>
      <c r="C225" s="29">
        <v>5.7200000000000001E-2</v>
      </c>
      <c r="D225" s="29">
        <v>0</v>
      </c>
      <c r="E225" s="21">
        <v>17193.82</v>
      </c>
      <c r="F225" s="21">
        <v>107136</v>
      </c>
      <c r="G225" s="21">
        <f t="shared" si="20"/>
        <v>124329.82</v>
      </c>
      <c r="H225" s="21">
        <v>67360.95</v>
      </c>
      <c r="I225" s="21">
        <v>56968.87</v>
      </c>
      <c r="J225" s="27">
        <f t="shared" si="17"/>
        <v>0.45820761262261939</v>
      </c>
      <c r="K225" s="46">
        <v>0</v>
      </c>
      <c r="L225" s="47">
        <v>0</v>
      </c>
      <c r="M225" s="47">
        <v>6000.48</v>
      </c>
      <c r="N225" s="47">
        <v>3494.61</v>
      </c>
      <c r="O225" s="32">
        <f t="shared" si="18"/>
        <v>9495.09</v>
      </c>
      <c r="P225" s="35">
        <f t="shared" si="19"/>
        <v>8.862651209677419E-2</v>
      </c>
    </row>
    <row r="226" spans="1:16">
      <c r="A226" s="20" t="s">
        <v>492</v>
      </c>
      <c r="B226" s="29">
        <v>0.57420000000000004</v>
      </c>
      <c r="C226" s="29">
        <v>0.55289999999999995</v>
      </c>
      <c r="D226" s="29">
        <v>0.3</v>
      </c>
      <c r="E226" s="21">
        <v>490778.16</v>
      </c>
      <c r="F226" s="21">
        <v>4656967</v>
      </c>
      <c r="G226" s="21">
        <f t="shared" si="20"/>
        <v>5147745.16</v>
      </c>
      <c r="H226" s="21">
        <v>3701151.17</v>
      </c>
      <c r="I226" s="21">
        <v>154332.74</v>
      </c>
      <c r="J226" s="27">
        <f t="shared" si="17"/>
        <v>2.9980648847815143E-2</v>
      </c>
      <c r="K226" s="46">
        <v>1292261.25</v>
      </c>
      <c r="L226" s="47">
        <v>229378.6</v>
      </c>
      <c r="M226" s="47">
        <v>851659.47</v>
      </c>
      <c r="N226" s="47">
        <v>94992.66</v>
      </c>
      <c r="O226" s="32">
        <f t="shared" si="18"/>
        <v>1176030.73</v>
      </c>
      <c r="P226" s="35">
        <f t="shared" si="19"/>
        <v>0.25253147166385331</v>
      </c>
    </row>
    <row r="227" spans="1:16">
      <c r="A227" s="20" t="s">
        <v>267</v>
      </c>
      <c r="B227" s="29">
        <v>0.59340000000000004</v>
      </c>
      <c r="C227" s="29">
        <v>0.30070000000000002</v>
      </c>
      <c r="D227" s="29">
        <v>0.31</v>
      </c>
      <c r="E227" s="21">
        <v>57640.66</v>
      </c>
      <c r="F227" s="21">
        <v>489056</v>
      </c>
      <c r="G227" s="21">
        <f t="shared" si="20"/>
        <v>546696.66</v>
      </c>
      <c r="H227" s="21">
        <v>530736.38</v>
      </c>
      <c r="I227" s="21">
        <v>17865.53</v>
      </c>
      <c r="J227" s="27">
        <f t="shared" si="17"/>
        <v>3.26790545967484E-2</v>
      </c>
      <c r="K227" s="46">
        <v>0</v>
      </c>
      <c r="L227" s="47">
        <v>0</v>
      </c>
      <c r="M227" s="47">
        <v>0</v>
      </c>
      <c r="N227" s="47">
        <v>68166.58</v>
      </c>
      <c r="O227" s="32">
        <f t="shared" si="18"/>
        <v>68166.58</v>
      </c>
      <c r="P227" s="35">
        <f t="shared" si="19"/>
        <v>0.13938399692468756</v>
      </c>
    </row>
    <row r="228" spans="1:16">
      <c r="A228" s="20" t="s">
        <v>337</v>
      </c>
      <c r="B228" s="29">
        <v>0.8639</v>
      </c>
      <c r="C228" s="29">
        <v>0.88829999999999998</v>
      </c>
      <c r="D228" s="29">
        <v>0.47</v>
      </c>
      <c r="E228" s="21">
        <v>52771.79</v>
      </c>
      <c r="F228" s="21">
        <v>350176</v>
      </c>
      <c r="G228" s="21">
        <f t="shared" si="20"/>
        <v>402947.79</v>
      </c>
      <c r="H228" s="21">
        <v>285440.96000000002</v>
      </c>
      <c r="I228" s="21">
        <v>99218.83</v>
      </c>
      <c r="J228" s="27">
        <f t="shared" si="17"/>
        <v>0.24623247096106424</v>
      </c>
      <c r="K228" s="46">
        <v>0</v>
      </c>
      <c r="L228" s="47">
        <v>0</v>
      </c>
      <c r="M228" s="47">
        <v>865.12</v>
      </c>
      <c r="N228" s="47">
        <v>72.989999999999995</v>
      </c>
      <c r="O228" s="32">
        <f t="shared" si="18"/>
        <v>938.11</v>
      </c>
      <c r="P228" s="33">
        <f t="shared" si="19"/>
        <v>2.6789671479484603E-3</v>
      </c>
    </row>
    <row r="229" spans="1:16" ht="27">
      <c r="A229" s="20" t="s">
        <v>472</v>
      </c>
      <c r="B229" s="29">
        <v>0.75739999999999996</v>
      </c>
      <c r="C229" s="29">
        <v>0.61229999999999996</v>
      </c>
      <c r="D229" s="29">
        <v>0.56999999999999995</v>
      </c>
      <c r="E229" s="21">
        <v>39881.129999999997</v>
      </c>
      <c r="F229" s="21">
        <v>382744</v>
      </c>
      <c r="G229" s="21">
        <f t="shared" si="20"/>
        <v>422625.13</v>
      </c>
      <c r="H229" s="21">
        <v>396739.89</v>
      </c>
      <c r="I229" s="21">
        <v>25885.24</v>
      </c>
      <c r="J229" s="27">
        <f t="shared" si="17"/>
        <v>6.1248700473632511E-2</v>
      </c>
      <c r="K229" s="46">
        <v>0</v>
      </c>
      <c r="L229" s="47">
        <v>0</v>
      </c>
      <c r="M229" s="47">
        <v>0</v>
      </c>
      <c r="N229" s="47">
        <f>974.12+48142.29</f>
        <v>49116.41</v>
      </c>
      <c r="O229" s="32">
        <f t="shared" si="18"/>
        <v>49116.41</v>
      </c>
      <c r="P229" s="35">
        <f t="shared" si="19"/>
        <v>0.12832705411449952</v>
      </c>
    </row>
    <row r="230" spans="1:16">
      <c r="A230" s="20" t="s">
        <v>6</v>
      </c>
      <c r="B230" s="29">
        <v>0.61560000000000004</v>
      </c>
      <c r="C230" s="29">
        <v>0.49540000000000001</v>
      </c>
      <c r="D230" s="29">
        <v>0.44</v>
      </c>
      <c r="E230" s="21">
        <v>183231.29</v>
      </c>
      <c r="F230" s="21">
        <v>552544</v>
      </c>
      <c r="G230" s="21">
        <f t="shared" si="20"/>
        <v>735775.29</v>
      </c>
      <c r="H230" s="21">
        <v>539897.53</v>
      </c>
      <c r="I230" s="21">
        <v>195907.76</v>
      </c>
      <c r="J230" s="27">
        <f t="shared" si="17"/>
        <v>0.26626031434135278</v>
      </c>
      <c r="K230" s="46">
        <v>0</v>
      </c>
      <c r="L230" s="47">
        <v>5594.86</v>
      </c>
      <c r="M230" s="47">
        <v>0</v>
      </c>
      <c r="N230" s="47">
        <f>30243.19+15077.25</f>
        <v>45320.44</v>
      </c>
      <c r="O230" s="32">
        <f t="shared" si="18"/>
        <v>50915.3</v>
      </c>
      <c r="P230" s="35">
        <f t="shared" si="19"/>
        <v>9.2147050732611341E-2</v>
      </c>
    </row>
    <row r="231" spans="1:16">
      <c r="A231" s="20" t="s">
        <v>299</v>
      </c>
      <c r="B231" s="29">
        <v>0.66869999999999996</v>
      </c>
      <c r="C231" s="29">
        <v>0.55649999999999999</v>
      </c>
      <c r="D231" s="29">
        <v>0.34</v>
      </c>
      <c r="E231" s="21">
        <v>170064.82</v>
      </c>
      <c r="F231" s="21">
        <v>1467664</v>
      </c>
      <c r="G231" s="21">
        <f t="shared" si="20"/>
        <v>1637728.82</v>
      </c>
      <c r="H231" s="21">
        <v>840256.28</v>
      </c>
      <c r="I231" s="21">
        <v>447472.54</v>
      </c>
      <c r="J231" s="27">
        <f t="shared" si="17"/>
        <v>0.2732274931816856</v>
      </c>
      <c r="K231" s="46">
        <v>350000</v>
      </c>
      <c r="L231" s="47">
        <v>1136.31</v>
      </c>
      <c r="M231" s="47">
        <v>147322.01999999999</v>
      </c>
      <c r="N231" s="47">
        <v>47.97</v>
      </c>
      <c r="O231" s="32">
        <f t="shared" si="18"/>
        <v>148506.29999999999</v>
      </c>
      <c r="P231" s="35">
        <f t="shared" si="19"/>
        <v>0.10118548932180661</v>
      </c>
    </row>
    <row r="232" spans="1:16">
      <c r="A232" s="20" t="s">
        <v>363</v>
      </c>
      <c r="B232" s="29">
        <v>0.6915</v>
      </c>
      <c r="C232" s="29">
        <v>0.13750000000000001</v>
      </c>
      <c r="D232" s="29">
        <v>0.4</v>
      </c>
      <c r="E232" s="21">
        <v>5639.73</v>
      </c>
      <c r="F232" s="21">
        <v>543120</v>
      </c>
      <c r="G232" s="21">
        <f t="shared" si="20"/>
        <v>548759.73</v>
      </c>
      <c r="H232" s="21">
        <v>543076.43999999994</v>
      </c>
      <c r="I232" s="21">
        <v>5683.29</v>
      </c>
      <c r="J232" s="27">
        <f t="shared" si="17"/>
        <v>1.0356609075523819E-2</v>
      </c>
      <c r="K232" s="46">
        <v>0</v>
      </c>
      <c r="L232" s="47">
        <v>14491.17</v>
      </c>
      <c r="M232" s="47">
        <v>32809.4</v>
      </c>
      <c r="N232" s="47">
        <v>0</v>
      </c>
      <c r="O232" s="32">
        <f t="shared" si="18"/>
        <v>47300.57</v>
      </c>
      <c r="P232" s="35">
        <f t="shared" si="19"/>
        <v>8.7090458830461043E-2</v>
      </c>
    </row>
    <row r="233" spans="1:16">
      <c r="A233" s="20" t="s">
        <v>130</v>
      </c>
      <c r="B233" s="29">
        <v>1</v>
      </c>
      <c r="C233" s="29">
        <v>0.91020000000000001</v>
      </c>
      <c r="D233" s="29">
        <v>0.48</v>
      </c>
      <c r="E233" s="21">
        <v>151855.71</v>
      </c>
      <c r="F233" s="21">
        <v>260896</v>
      </c>
      <c r="G233" s="21">
        <f t="shared" si="20"/>
        <v>412751.70999999996</v>
      </c>
      <c r="H233" s="21">
        <v>383029.42</v>
      </c>
      <c r="I233" s="21">
        <v>29722.29</v>
      </c>
      <c r="J233" s="27">
        <f t="shared" si="17"/>
        <v>7.2010095367018592E-2</v>
      </c>
      <c r="K233" s="46">
        <v>0</v>
      </c>
      <c r="L233" s="47">
        <v>0</v>
      </c>
      <c r="M233" s="47">
        <v>0</v>
      </c>
      <c r="N233" s="47">
        <f>10485.82+2274.68</f>
        <v>12760.5</v>
      </c>
      <c r="O233" s="32">
        <f t="shared" si="18"/>
        <v>12760.5</v>
      </c>
      <c r="P233" s="35">
        <f t="shared" si="19"/>
        <v>4.8910293756899301E-2</v>
      </c>
    </row>
    <row r="234" spans="1:16">
      <c r="A234" s="20" t="s">
        <v>458</v>
      </c>
      <c r="B234" s="29">
        <v>0.78129999999999999</v>
      </c>
      <c r="C234" s="29">
        <v>2.4500000000000001E-2</v>
      </c>
      <c r="D234" s="29">
        <v>0.59</v>
      </c>
      <c r="E234" s="21">
        <v>400762.36</v>
      </c>
      <c r="F234" s="21">
        <v>268832</v>
      </c>
      <c r="G234" s="21">
        <f t="shared" si="20"/>
        <v>669594.36</v>
      </c>
      <c r="H234" s="21">
        <v>430371.34</v>
      </c>
      <c r="I234" s="21">
        <v>226286.07999999999</v>
      </c>
      <c r="J234" s="27">
        <f t="shared" si="17"/>
        <v>0.33794502092281659</v>
      </c>
      <c r="K234" s="46">
        <v>12936.94</v>
      </c>
      <c r="L234" s="47">
        <v>0</v>
      </c>
      <c r="M234" s="47">
        <v>9985.92</v>
      </c>
      <c r="N234" s="47">
        <v>220</v>
      </c>
      <c r="O234" s="32">
        <f t="shared" si="18"/>
        <v>10205.92</v>
      </c>
      <c r="P234" s="35">
        <f t="shared" si="19"/>
        <v>3.7963932865135101E-2</v>
      </c>
    </row>
    <row r="235" spans="1:16">
      <c r="A235" s="20" t="s">
        <v>524</v>
      </c>
      <c r="B235" s="29">
        <v>0.76480000000000004</v>
      </c>
      <c r="C235" s="29">
        <v>0.12429999999999999</v>
      </c>
      <c r="D235" s="29">
        <v>0.28000000000000003</v>
      </c>
      <c r="E235" s="21">
        <v>235981.63</v>
      </c>
      <c r="F235" s="21">
        <v>730112</v>
      </c>
      <c r="G235" s="21">
        <f t="shared" si="20"/>
        <v>966093.63</v>
      </c>
      <c r="H235" s="21">
        <v>600618.29</v>
      </c>
      <c r="I235" s="21">
        <v>131200.4</v>
      </c>
      <c r="J235" s="27">
        <f t="shared" si="17"/>
        <v>0.13580505649333388</v>
      </c>
      <c r="K235" s="46">
        <v>235000</v>
      </c>
      <c r="L235" s="47">
        <v>30.84</v>
      </c>
      <c r="M235" s="47">
        <v>0</v>
      </c>
      <c r="N235" s="47">
        <f>11197.1+1793.37</f>
        <v>12990.470000000001</v>
      </c>
      <c r="O235" s="32">
        <f t="shared" si="18"/>
        <v>13021.310000000001</v>
      </c>
      <c r="P235" s="33">
        <f t="shared" si="19"/>
        <v>1.7834674680049092E-2</v>
      </c>
    </row>
    <row r="236" spans="1:16" ht="27">
      <c r="A236" s="20" t="s">
        <v>46</v>
      </c>
      <c r="B236" s="29">
        <v>0.42609999999999998</v>
      </c>
      <c r="C236" s="29">
        <v>3.8399999999999997E-2</v>
      </c>
      <c r="D236" s="29">
        <v>0.28000000000000003</v>
      </c>
      <c r="E236" s="21">
        <v>54665.84</v>
      </c>
      <c r="F236" s="21">
        <v>178560</v>
      </c>
      <c r="G236" s="21">
        <f t="shared" si="20"/>
        <v>233225.84</v>
      </c>
      <c r="H236" s="21">
        <v>230502.84</v>
      </c>
      <c r="I236" s="21">
        <v>2723</v>
      </c>
      <c r="J236" s="27">
        <f t="shared" si="17"/>
        <v>1.1675378680166829E-2</v>
      </c>
      <c r="K236" s="46">
        <v>0</v>
      </c>
      <c r="L236" s="47">
        <v>0</v>
      </c>
      <c r="M236" s="47">
        <v>42893.39</v>
      </c>
      <c r="N236" s="47">
        <v>2953.72</v>
      </c>
      <c r="O236" s="32">
        <f t="shared" si="18"/>
        <v>45847.11</v>
      </c>
      <c r="P236" s="35">
        <f t="shared" si="19"/>
        <v>0.25676024865591396</v>
      </c>
    </row>
    <row r="237" spans="1:16">
      <c r="A237" s="20" t="s">
        <v>110</v>
      </c>
      <c r="B237" s="29">
        <v>0.21820000000000001</v>
      </c>
      <c r="C237" s="29">
        <v>8.7800000000000003E-2</v>
      </c>
      <c r="D237" s="29">
        <v>0.1</v>
      </c>
      <c r="E237" s="21">
        <v>2481.9899999999998</v>
      </c>
      <c r="F237" s="21">
        <v>207444</v>
      </c>
      <c r="G237" s="21">
        <f t="shared" si="20"/>
        <v>209925.99</v>
      </c>
      <c r="H237" s="21">
        <v>223332.08</v>
      </c>
      <c r="I237" s="21">
        <v>0</v>
      </c>
      <c r="J237" s="27">
        <f t="shared" si="17"/>
        <v>0</v>
      </c>
      <c r="K237" s="46">
        <v>0</v>
      </c>
      <c r="L237" s="47">
        <v>0</v>
      </c>
      <c r="M237" s="47">
        <v>0</v>
      </c>
      <c r="N237" s="47">
        <v>0</v>
      </c>
      <c r="O237" s="32">
        <f t="shared" si="18"/>
        <v>0</v>
      </c>
      <c r="P237" s="33">
        <f t="shared" si="19"/>
        <v>0</v>
      </c>
    </row>
    <row r="238" spans="1:16">
      <c r="A238" s="20" t="s">
        <v>122</v>
      </c>
      <c r="B238" s="29">
        <v>0.51270000000000004</v>
      </c>
      <c r="C238" s="29">
        <v>0.27310000000000001</v>
      </c>
      <c r="D238" s="29">
        <v>0.33</v>
      </c>
      <c r="E238" s="21">
        <v>275691.96999999997</v>
      </c>
      <c r="F238" s="21">
        <v>1439789</v>
      </c>
      <c r="G238" s="21">
        <f t="shared" si="20"/>
        <v>1715480.97</v>
      </c>
      <c r="H238" s="21">
        <v>1404383.83</v>
      </c>
      <c r="I238" s="21">
        <v>311097</v>
      </c>
      <c r="J238" s="27">
        <f t="shared" si="17"/>
        <v>0.18134680911091658</v>
      </c>
      <c r="K238" s="46">
        <v>0</v>
      </c>
      <c r="L238" s="47">
        <v>0</v>
      </c>
      <c r="M238" s="47">
        <v>0</v>
      </c>
      <c r="N238" s="47">
        <v>56127.519999999997</v>
      </c>
      <c r="O238" s="32">
        <f t="shared" si="18"/>
        <v>56127.519999999997</v>
      </c>
      <c r="P238" s="35">
        <f t="shared" si="19"/>
        <v>3.8983156559745907E-2</v>
      </c>
    </row>
    <row r="239" spans="1:16">
      <c r="A239" s="20" t="s">
        <v>371</v>
      </c>
      <c r="B239" s="29">
        <v>0.70499999999999996</v>
      </c>
      <c r="C239" s="29">
        <v>0.14630000000000001</v>
      </c>
      <c r="D239" s="29">
        <v>0.2</v>
      </c>
      <c r="E239" s="21">
        <v>8058.95</v>
      </c>
      <c r="F239" s="21">
        <v>129456</v>
      </c>
      <c r="G239" s="21">
        <f t="shared" si="20"/>
        <v>137514.95000000001</v>
      </c>
      <c r="H239" s="21">
        <v>133896.31</v>
      </c>
      <c r="I239" s="21">
        <v>3618.64</v>
      </c>
      <c r="J239" s="27">
        <f t="shared" si="17"/>
        <v>2.6314520712111662E-2</v>
      </c>
      <c r="K239" s="46">
        <v>0</v>
      </c>
      <c r="L239" s="47">
        <v>0</v>
      </c>
      <c r="M239" s="47">
        <v>23970.81</v>
      </c>
      <c r="N239" s="47">
        <v>4934.22</v>
      </c>
      <c r="O239" s="32">
        <f t="shared" si="18"/>
        <v>28905.030000000002</v>
      </c>
      <c r="P239" s="35">
        <f t="shared" si="19"/>
        <v>0.22328072858731926</v>
      </c>
    </row>
    <row r="240" spans="1:16">
      <c r="A240" s="20" t="s">
        <v>156</v>
      </c>
      <c r="B240" s="29">
        <v>0.3614</v>
      </c>
      <c r="C240" s="29">
        <v>4.9099999999999998E-2</v>
      </c>
      <c r="D240" s="29">
        <v>0.19</v>
      </c>
      <c r="E240" s="21">
        <v>0</v>
      </c>
      <c r="F240" s="21">
        <v>525115</v>
      </c>
      <c r="G240" s="21">
        <f t="shared" si="20"/>
        <v>525115</v>
      </c>
      <c r="H240" s="21">
        <v>525115</v>
      </c>
      <c r="I240" s="21">
        <v>0</v>
      </c>
      <c r="J240" s="27">
        <f t="shared" si="17"/>
        <v>0</v>
      </c>
      <c r="K240" s="46">
        <v>0</v>
      </c>
      <c r="L240" s="47">
        <v>0</v>
      </c>
      <c r="M240" s="47">
        <v>32466.560000000001</v>
      </c>
      <c r="N240" s="47">
        <v>0</v>
      </c>
      <c r="O240" s="32">
        <f t="shared" si="18"/>
        <v>32466.560000000001</v>
      </c>
      <c r="P240" s="35">
        <f t="shared" si="19"/>
        <v>6.1827523494853508E-2</v>
      </c>
    </row>
    <row r="241" spans="1:16">
      <c r="A241" s="20" t="s">
        <v>168</v>
      </c>
      <c r="B241" s="29">
        <v>0.53159999999999996</v>
      </c>
      <c r="C241" s="29">
        <v>3.9E-2</v>
      </c>
      <c r="D241" s="29">
        <v>0.24</v>
      </c>
      <c r="E241" s="21">
        <v>9211.66</v>
      </c>
      <c r="F241" s="21">
        <v>96720</v>
      </c>
      <c r="G241" s="21">
        <f t="shared" si="20"/>
        <v>105931.66</v>
      </c>
      <c r="H241" s="21">
        <v>105402.05</v>
      </c>
      <c r="I241" s="21">
        <v>529.61</v>
      </c>
      <c r="J241" s="27">
        <f t="shared" si="17"/>
        <v>4.9995440456611362E-3</v>
      </c>
      <c r="K241" s="46">
        <v>0</v>
      </c>
      <c r="L241" s="47">
        <v>0</v>
      </c>
      <c r="M241" s="47">
        <v>0</v>
      </c>
      <c r="N241" s="47">
        <v>0</v>
      </c>
      <c r="O241" s="32">
        <f t="shared" si="18"/>
        <v>0</v>
      </c>
      <c r="P241" s="33">
        <f t="shared" si="19"/>
        <v>0</v>
      </c>
    </row>
    <row r="242" spans="1:16">
      <c r="A242" s="20" t="s">
        <v>432</v>
      </c>
      <c r="B242" s="29">
        <v>0.62239999999999995</v>
      </c>
      <c r="C242" s="29">
        <v>0.2132</v>
      </c>
      <c r="D242" s="29">
        <v>0.35</v>
      </c>
      <c r="E242" s="21">
        <v>14543.01</v>
      </c>
      <c r="F242" s="21">
        <v>543616</v>
      </c>
      <c r="G242" s="21">
        <f t="shared" si="20"/>
        <v>558159.01</v>
      </c>
      <c r="H242" s="21">
        <v>525129.34</v>
      </c>
      <c r="I242" s="21">
        <v>15564.67</v>
      </c>
      <c r="J242" s="27">
        <f t="shared" si="17"/>
        <v>2.7885727402304227E-2</v>
      </c>
      <c r="K242" s="46">
        <v>17465</v>
      </c>
      <c r="L242" s="47">
        <v>0</v>
      </c>
      <c r="M242" s="47">
        <v>25726.73</v>
      </c>
      <c r="N242" s="47">
        <v>0</v>
      </c>
      <c r="O242" s="32">
        <f t="shared" si="18"/>
        <v>25726.73</v>
      </c>
      <c r="P242" s="35">
        <f t="shared" si="19"/>
        <v>4.7325189104073462E-2</v>
      </c>
    </row>
    <row r="243" spans="1:16">
      <c r="A243" s="20" t="s">
        <v>52</v>
      </c>
      <c r="B243" s="29">
        <v>0.69920000000000004</v>
      </c>
      <c r="C243" s="29">
        <v>0.53820000000000001</v>
      </c>
      <c r="D243" s="29">
        <v>0.43</v>
      </c>
      <c r="E243" s="21">
        <v>156240.09</v>
      </c>
      <c r="F243" s="21">
        <v>524272</v>
      </c>
      <c r="G243" s="21">
        <f t="shared" si="20"/>
        <v>680512.09</v>
      </c>
      <c r="H243" s="21">
        <v>577697.22</v>
      </c>
      <c r="I243" s="21">
        <v>102814.87</v>
      </c>
      <c r="J243" s="27">
        <f t="shared" si="17"/>
        <v>0.15108456045211482</v>
      </c>
      <c r="K243" s="46">
        <v>0</v>
      </c>
      <c r="L243" s="47">
        <v>0</v>
      </c>
      <c r="M243" s="47">
        <v>0</v>
      </c>
      <c r="N243" s="47">
        <f>110858.39</f>
        <v>110858.39</v>
      </c>
      <c r="O243" s="32">
        <f t="shared" si="18"/>
        <v>110858.39</v>
      </c>
      <c r="P243" s="35">
        <f t="shared" si="19"/>
        <v>0.21145205160679953</v>
      </c>
    </row>
    <row r="244" spans="1:16" ht="27">
      <c r="A244" s="20" t="s">
        <v>239</v>
      </c>
      <c r="B244" s="29">
        <v>0.62380000000000002</v>
      </c>
      <c r="C244" s="29">
        <v>0.68589999999999995</v>
      </c>
      <c r="D244" s="29">
        <v>0.4</v>
      </c>
      <c r="E244" s="21">
        <v>0</v>
      </c>
      <c r="F244" s="21">
        <v>962736</v>
      </c>
      <c r="G244" s="21">
        <f t="shared" si="20"/>
        <v>962736</v>
      </c>
      <c r="H244" s="21">
        <v>604948.16</v>
      </c>
      <c r="I244" s="21">
        <v>0</v>
      </c>
      <c r="J244" s="27">
        <f t="shared" si="17"/>
        <v>0</v>
      </c>
      <c r="K244" s="46">
        <v>357787.84</v>
      </c>
      <c r="L244" s="47">
        <v>0</v>
      </c>
      <c r="M244" s="47">
        <v>0</v>
      </c>
      <c r="N244" s="47">
        <v>14850</v>
      </c>
      <c r="O244" s="32">
        <f t="shared" si="18"/>
        <v>14850</v>
      </c>
      <c r="P244" s="35">
        <f t="shared" si="19"/>
        <v>1.5424789350351499E-2</v>
      </c>
    </row>
    <row r="245" spans="1:16">
      <c r="A245" s="20" t="s">
        <v>365</v>
      </c>
      <c r="B245" s="29">
        <v>0.55649999999999999</v>
      </c>
      <c r="C245" s="29">
        <v>4.6399999999999997E-2</v>
      </c>
      <c r="D245" s="29">
        <v>0.32</v>
      </c>
      <c r="E245" s="21">
        <v>0</v>
      </c>
      <c r="F245" s="21">
        <v>87792</v>
      </c>
      <c r="G245" s="21">
        <f t="shared" si="20"/>
        <v>87792</v>
      </c>
      <c r="H245" s="21">
        <v>82784.039999999994</v>
      </c>
      <c r="I245" s="21">
        <v>5007.96</v>
      </c>
      <c r="J245" s="27">
        <f t="shared" si="17"/>
        <v>5.7043466375068345E-2</v>
      </c>
      <c r="K245" s="46">
        <v>0</v>
      </c>
      <c r="L245" s="47">
        <v>0</v>
      </c>
      <c r="M245" s="47">
        <v>0</v>
      </c>
      <c r="N245" s="47">
        <v>0</v>
      </c>
      <c r="O245" s="32">
        <f t="shared" si="18"/>
        <v>0</v>
      </c>
      <c r="P245" s="33">
        <f t="shared" si="19"/>
        <v>0</v>
      </c>
    </row>
    <row r="246" spans="1:16">
      <c r="A246" s="20" t="s">
        <v>494</v>
      </c>
      <c r="B246" s="29">
        <v>0.4597</v>
      </c>
      <c r="C246" s="29">
        <v>6.2899999999999998E-2</v>
      </c>
      <c r="D246" s="29">
        <v>0.25</v>
      </c>
      <c r="E246" s="21">
        <v>11219.82</v>
      </c>
      <c r="F246" s="21">
        <v>252960</v>
      </c>
      <c r="G246" s="21">
        <f t="shared" si="20"/>
        <v>264179.82</v>
      </c>
      <c r="H246" s="21">
        <v>256325.34</v>
      </c>
      <c r="I246" s="21">
        <v>7854.48</v>
      </c>
      <c r="J246" s="27">
        <f t="shared" si="17"/>
        <v>2.9731566930433974E-2</v>
      </c>
      <c r="K246" s="46">
        <v>0</v>
      </c>
      <c r="L246" s="47">
        <v>0</v>
      </c>
      <c r="M246" s="47">
        <v>28280.29</v>
      </c>
      <c r="N246" s="47">
        <v>18580.98</v>
      </c>
      <c r="O246" s="32">
        <f t="shared" si="18"/>
        <v>46861.270000000004</v>
      </c>
      <c r="P246" s="35">
        <f t="shared" si="19"/>
        <v>0.18525169987349779</v>
      </c>
    </row>
    <row r="247" spans="1:16">
      <c r="A247" s="20" t="s">
        <v>126</v>
      </c>
      <c r="B247" s="29">
        <v>0.99980000000000002</v>
      </c>
      <c r="C247" s="29">
        <v>0.81330000000000002</v>
      </c>
      <c r="D247" s="29">
        <v>0.32</v>
      </c>
      <c r="E247" s="21">
        <v>1998666.37</v>
      </c>
      <c r="F247" s="21">
        <v>4841952</v>
      </c>
      <c r="G247" s="21">
        <f t="shared" si="20"/>
        <v>6840618.3700000001</v>
      </c>
      <c r="H247" s="21">
        <v>4790212.1100000003</v>
      </c>
      <c r="I247" s="21">
        <v>1779944.06</v>
      </c>
      <c r="J247" s="27">
        <f t="shared" si="17"/>
        <v>0.26020221619233525</v>
      </c>
      <c r="K247" s="46">
        <v>270462.2</v>
      </c>
      <c r="L247" s="47">
        <v>0</v>
      </c>
      <c r="M247" s="47">
        <v>333870.18</v>
      </c>
      <c r="N247" s="47">
        <f>124771.45+34108.1</f>
        <v>158879.54999999999</v>
      </c>
      <c r="O247" s="32">
        <f t="shared" si="18"/>
        <v>492749.73</v>
      </c>
      <c r="P247" s="35">
        <f t="shared" si="19"/>
        <v>0.10176675233459563</v>
      </c>
    </row>
    <row r="248" spans="1:16">
      <c r="A248" s="20" t="s">
        <v>82</v>
      </c>
      <c r="B248" s="29">
        <v>0.53500000000000003</v>
      </c>
      <c r="C248" s="29">
        <v>9.5999999999999992E-3</v>
      </c>
      <c r="D248" s="29">
        <v>0.2</v>
      </c>
      <c r="E248" s="21">
        <v>18494.009999999998</v>
      </c>
      <c r="F248" s="21">
        <v>135904</v>
      </c>
      <c r="G248" s="21">
        <f t="shared" si="20"/>
        <v>154398.01</v>
      </c>
      <c r="H248" s="21">
        <v>125681.29</v>
      </c>
      <c r="I248" s="21">
        <v>28716.720000000001</v>
      </c>
      <c r="J248" s="27">
        <f t="shared" si="17"/>
        <v>0.18599151634143471</v>
      </c>
      <c r="K248" s="46">
        <v>0</v>
      </c>
      <c r="L248" s="47">
        <v>5766.3</v>
      </c>
      <c r="M248" s="47">
        <v>7416.05</v>
      </c>
      <c r="N248" s="47">
        <v>0</v>
      </c>
      <c r="O248" s="32">
        <f t="shared" si="18"/>
        <v>13182.35</v>
      </c>
      <c r="P248" s="35">
        <f t="shared" si="19"/>
        <v>9.6997512950317874E-2</v>
      </c>
    </row>
    <row r="249" spans="1:16" s="36" customFormat="1">
      <c r="A249" s="20" t="s">
        <v>522</v>
      </c>
      <c r="B249" s="29">
        <v>0.74170000000000003</v>
      </c>
      <c r="C249" s="29">
        <v>0.29120000000000001</v>
      </c>
      <c r="D249" s="29">
        <v>0.41</v>
      </c>
      <c r="E249" s="21">
        <v>25156.34</v>
      </c>
      <c r="F249" s="21">
        <v>298196</v>
      </c>
      <c r="G249" s="21">
        <f t="shared" si="20"/>
        <v>323352.34000000003</v>
      </c>
      <c r="H249" s="21">
        <v>237364.24</v>
      </c>
      <c r="I249" s="21">
        <v>72548.100000000006</v>
      </c>
      <c r="J249" s="27">
        <f t="shared" si="17"/>
        <v>0.22436237820329366</v>
      </c>
      <c r="K249" s="46">
        <v>13440</v>
      </c>
      <c r="L249" s="47">
        <v>0</v>
      </c>
      <c r="M249" s="47">
        <v>14389.95</v>
      </c>
      <c r="N249" s="47">
        <v>0</v>
      </c>
      <c r="O249" s="32">
        <f t="shared" si="18"/>
        <v>14389.95</v>
      </c>
      <c r="P249" s="35">
        <f t="shared" si="19"/>
        <v>4.8256683523588514E-2</v>
      </c>
    </row>
    <row r="250" spans="1:16" ht="27">
      <c r="A250" s="20" t="s">
        <v>100</v>
      </c>
      <c r="B250" s="29">
        <v>0.51939999999999997</v>
      </c>
      <c r="C250" s="29">
        <v>4.0899999999999999E-2</v>
      </c>
      <c r="D250" s="29">
        <v>0.23</v>
      </c>
      <c r="E250" s="21">
        <v>55200.67</v>
      </c>
      <c r="F250" s="21">
        <v>398288</v>
      </c>
      <c r="G250" s="21">
        <f t="shared" si="20"/>
        <v>453488.67</v>
      </c>
      <c r="H250" s="21">
        <v>451437.44</v>
      </c>
      <c r="I250" s="21">
        <v>2051.23</v>
      </c>
      <c r="J250" s="27">
        <f t="shared" si="17"/>
        <v>4.5232221567961112E-3</v>
      </c>
      <c r="K250" s="46">
        <v>0</v>
      </c>
      <c r="L250" s="47">
        <v>69676.070000000007</v>
      </c>
      <c r="M250" s="47">
        <v>27084.09</v>
      </c>
      <c r="N250" s="47">
        <v>0</v>
      </c>
      <c r="O250" s="32">
        <f t="shared" si="18"/>
        <v>96760.16</v>
      </c>
      <c r="P250" s="35">
        <f t="shared" si="19"/>
        <v>0.24294018398746636</v>
      </c>
    </row>
    <row r="251" spans="1:16">
      <c r="A251" s="20" t="s">
        <v>249</v>
      </c>
      <c r="B251" s="29">
        <v>1</v>
      </c>
      <c r="C251" s="29">
        <v>7.6100000000000001E-2</v>
      </c>
      <c r="D251" s="29">
        <v>0.52</v>
      </c>
      <c r="E251" s="21">
        <v>43680.65</v>
      </c>
      <c r="F251" s="21">
        <v>470208</v>
      </c>
      <c r="G251" s="21">
        <f t="shared" si="20"/>
        <v>513888.65</v>
      </c>
      <c r="H251" s="21">
        <v>388318.58</v>
      </c>
      <c r="I251" s="21">
        <v>23070.07</v>
      </c>
      <c r="J251" s="27">
        <f t="shared" si="17"/>
        <v>4.4893130058428023E-2</v>
      </c>
      <c r="K251" s="46">
        <v>102500</v>
      </c>
      <c r="L251" s="47">
        <v>0</v>
      </c>
      <c r="M251" s="47">
        <v>0</v>
      </c>
      <c r="N251" s="47">
        <v>0</v>
      </c>
      <c r="O251" s="32">
        <f t="shared" si="18"/>
        <v>0</v>
      </c>
      <c r="P251" s="33">
        <f t="shared" si="19"/>
        <v>0</v>
      </c>
    </row>
    <row r="252" spans="1:16" ht="27">
      <c r="A252" s="20" t="s">
        <v>504</v>
      </c>
      <c r="B252" s="29">
        <v>0.51790000000000003</v>
      </c>
      <c r="C252" s="29">
        <v>9.5000000000000001E-2</v>
      </c>
      <c r="D252" s="29">
        <v>0.33</v>
      </c>
      <c r="E252" s="21">
        <v>4063.83</v>
      </c>
      <c r="F252" s="21">
        <v>171616</v>
      </c>
      <c r="G252" s="21">
        <f t="shared" ref="G252:G258" si="21">E252+F252</f>
        <v>175679.83</v>
      </c>
      <c r="H252" s="21">
        <v>160214.26999999999</v>
      </c>
      <c r="I252" s="21">
        <v>15465.56</v>
      </c>
      <c r="J252" s="27">
        <f t="shared" si="17"/>
        <v>8.8032644384958711E-2</v>
      </c>
      <c r="K252" s="46">
        <v>0</v>
      </c>
      <c r="L252" s="47">
        <v>0</v>
      </c>
      <c r="M252" s="47">
        <v>0</v>
      </c>
      <c r="N252" s="47">
        <v>0</v>
      </c>
      <c r="O252" s="32">
        <f t="shared" si="18"/>
        <v>0</v>
      </c>
      <c r="P252" s="33">
        <f t="shared" si="19"/>
        <v>0</v>
      </c>
    </row>
    <row r="253" spans="1:16">
      <c r="A253" s="20" t="s">
        <v>241</v>
      </c>
      <c r="B253" s="29">
        <v>0.34260000000000002</v>
      </c>
      <c r="C253" s="29">
        <v>0.1845</v>
      </c>
      <c r="D253" s="29">
        <v>0.26</v>
      </c>
      <c r="E253" s="21">
        <v>67808.77</v>
      </c>
      <c r="F253" s="21">
        <v>524272</v>
      </c>
      <c r="G253" s="21">
        <f t="shared" si="21"/>
        <v>592080.77</v>
      </c>
      <c r="H253" s="21">
        <v>547602.34</v>
      </c>
      <c r="I253" s="21">
        <v>38348.43</v>
      </c>
      <c r="J253" s="27">
        <f t="shared" si="17"/>
        <v>6.4768916578729616E-2</v>
      </c>
      <c r="K253" s="46">
        <v>6400</v>
      </c>
      <c r="L253" s="47">
        <v>48359</v>
      </c>
      <c r="M253" s="47">
        <v>0</v>
      </c>
      <c r="N253" s="47">
        <v>0</v>
      </c>
      <c r="O253" s="32">
        <f t="shared" si="18"/>
        <v>48359</v>
      </c>
      <c r="P253" s="35">
        <f t="shared" si="19"/>
        <v>9.2240287484359265E-2</v>
      </c>
    </row>
    <row r="254" spans="1:16">
      <c r="A254" s="20" t="s">
        <v>373</v>
      </c>
      <c r="B254" s="29">
        <v>1</v>
      </c>
      <c r="C254" s="29">
        <v>0.36030000000000001</v>
      </c>
      <c r="D254" s="29">
        <v>0.16</v>
      </c>
      <c r="E254" s="21">
        <v>227520.54</v>
      </c>
      <c r="F254" s="21">
        <v>514848</v>
      </c>
      <c r="G254" s="21">
        <f t="shared" si="21"/>
        <v>742368.54</v>
      </c>
      <c r="H254" s="21">
        <v>599707.25</v>
      </c>
      <c r="I254" s="21">
        <v>142661.29</v>
      </c>
      <c r="J254" s="27">
        <f t="shared" si="17"/>
        <v>0.19217044138212</v>
      </c>
      <c r="K254" s="46">
        <v>0</v>
      </c>
      <c r="L254" s="47">
        <v>1945.52</v>
      </c>
      <c r="M254" s="47">
        <v>60</v>
      </c>
      <c r="N254" s="47">
        <v>17990.349999999999</v>
      </c>
      <c r="O254" s="32">
        <f t="shared" si="18"/>
        <v>19995.87</v>
      </c>
      <c r="P254" s="33">
        <f t="shared" si="19"/>
        <v>3.883839502144322E-2</v>
      </c>
    </row>
    <row r="255" spans="1:16">
      <c r="A255" s="20" t="s">
        <v>94</v>
      </c>
      <c r="B255" s="29">
        <v>0.48520000000000002</v>
      </c>
      <c r="C255" s="29">
        <v>5.2900000000000003E-2</v>
      </c>
      <c r="D255" s="29">
        <v>0.28999999999999998</v>
      </c>
      <c r="E255" s="21">
        <v>14415.2</v>
      </c>
      <c r="F255" s="21">
        <v>99696</v>
      </c>
      <c r="G255" s="21">
        <f t="shared" si="21"/>
        <v>114111.2</v>
      </c>
      <c r="H255" s="21">
        <v>94502.36</v>
      </c>
      <c r="I255" s="21">
        <v>19608.84</v>
      </c>
      <c r="J255" s="27">
        <f t="shared" si="17"/>
        <v>0.1718397492971768</v>
      </c>
      <c r="K255" s="46">
        <v>0</v>
      </c>
      <c r="L255" s="47">
        <v>0</v>
      </c>
      <c r="M255" s="47">
        <v>0</v>
      </c>
      <c r="N255" s="47">
        <v>0</v>
      </c>
      <c r="O255" s="32">
        <f t="shared" si="18"/>
        <v>0</v>
      </c>
      <c r="P255" s="35">
        <f t="shared" si="19"/>
        <v>0</v>
      </c>
    </row>
    <row r="256" spans="1:16">
      <c r="A256" s="20" t="s">
        <v>84</v>
      </c>
      <c r="B256" s="29">
        <v>0.32919999999999999</v>
      </c>
      <c r="C256" s="29">
        <v>4.1599999999999998E-2</v>
      </c>
      <c r="D256" s="29">
        <v>0.2</v>
      </c>
      <c r="E256" s="21">
        <v>5621.09</v>
      </c>
      <c r="F256" s="21">
        <v>95728</v>
      </c>
      <c r="G256" s="21">
        <f t="shared" si="21"/>
        <v>101349.09</v>
      </c>
      <c r="H256" s="21">
        <v>109699.12</v>
      </c>
      <c r="I256" s="21">
        <v>8753.9699999999993</v>
      </c>
      <c r="J256" s="27">
        <f t="shared" si="17"/>
        <v>8.6374431186308623E-2</v>
      </c>
      <c r="K256" s="46">
        <v>0</v>
      </c>
      <c r="L256" s="47">
        <v>0</v>
      </c>
      <c r="M256" s="47">
        <v>0</v>
      </c>
      <c r="N256" s="47">
        <v>0</v>
      </c>
      <c r="O256" s="32">
        <f t="shared" si="18"/>
        <v>0</v>
      </c>
      <c r="P256" s="33">
        <f t="shared" si="19"/>
        <v>0</v>
      </c>
    </row>
    <row r="257" spans="1:16">
      <c r="A257" s="20" t="s">
        <v>134</v>
      </c>
      <c r="B257" s="29">
        <v>0.56930000000000003</v>
      </c>
      <c r="C257" s="29">
        <v>0.34289999999999998</v>
      </c>
      <c r="D257" s="29">
        <v>0.24</v>
      </c>
      <c r="E257" s="21">
        <v>29362.45</v>
      </c>
      <c r="F257" s="21">
        <v>806992</v>
      </c>
      <c r="G257" s="21">
        <f t="shared" si="21"/>
        <v>836354.45</v>
      </c>
      <c r="H257" s="21">
        <v>655137.56999999995</v>
      </c>
      <c r="I257" s="21">
        <v>46338.879999999997</v>
      </c>
      <c r="J257" s="27">
        <f t="shared" si="17"/>
        <v>5.540579116904322E-2</v>
      </c>
      <c r="K257" s="46">
        <v>0</v>
      </c>
      <c r="L257" s="47">
        <v>0</v>
      </c>
      <c r="M257" s="47">
        <v>0</v>
      </c>
      <c r="N257" s="47">
        <f>12436.28+11399.74+17763.01</f>
        <v>41599.03</v>
      </c>
      <c r="O257" s="32">
        <f t="shared" si="18"/>
        <v>41599.03</v>
      </c>
      <c r="P257" s="35">
        <f t="shared" si="19"/>
        <v>5.1548255744790529E-2</v>
      </c>
    </row>
    <row r="258" spans="1:16">
      <c r="A258" s="20" t="s">
        <v>293</v>
      </c>
      <c r="B258" s="29">
        <v>0.61140000000000005</v>
      </c>
      <c r="C258" s="29">
        <v>2.5100000000000001E-2</v>
      </c>
      <c r="D258" s="29">
        <v>0.2</v>
      </c>
      <c r="E258" s="21">
        <v>694.31</v>
      </c>
      <c r="F258" s="21">
        <v>257424</v>
      </c>
      <c r="G258" s="21">
        <f t="shared" si="21"/>
        <v>258118.31</v>
      </c>
      <c r="H258" s="21">
        <v>255792.84</v>
      </c>
      <c r="I258" s="21">
        <v>2325.4699999999998</v>
      </c>
      <c r="J258" s="27">
        <f t="shared" ref="J258" si="22">I258/G258</f>
        <v>9.0093182463498993E-3</v>
      </c>
      <c r="K258" s="46">
        <v>0</v>
      </c>
      <c r="L258" s="47">
        <v>0</v>
      </c>
      <c r="M258" s="47">
        <v>0</v>
      </c>
      <c r="N258" s="47">
        <v>0</v>
      </c>
      <c r="O258" s="32">
        <f t="shared" ref="O258" si="23">SUM(L258:N258)</f>
        <v>0</v>
      </c>
      <c r="P258" s="33">
        <f t="shared" ref="P258" si="24">O258/F258</f>
        <v>0</v>
      </c>
    </row>
    <row r="259" spans="1:16">
      <c r="A259" s="20"/>
      <c r="B259" s="29"/>
      <c r="C259" s="29"/>
      <c r="D259" s="29"/>
      <c r="E259" s="21"/>
      <c r="F259" s="21"/>
      <c r="G259" s="21"/>
      <c r="H259" s="21"/>
      <c r="I259" s="21"/>
      <c r="J259" s="27"/>
      <c r="K259" s="46"/>
      <c r="L259" s="47"/>
      <c r="M259" s="47"/>
      <c r="N259" s="47"/>
      <c r="O259" s="32"/>
      <c r="P259" s="35"/>
    </row>
    <row r="260" spans="1:16">
      <c r="A260" s="37" t="s">
        <v>537</v>
      </c>
      <c r="B260" s="38">
        <v>0.61</v>
      </c>
      <c r="C260" s="38">
        <v>0.26</v>
      </c>
      <c r="D260" s="38">
        <v>0.27</v>
      </c>
      <c r="E260" s="39">
        <f>SUM(E2:E258)</f>
        <v>27147731.339999989</v>
      </c>
      <c r="F260" s="39">
        <f>SUM(F2:F258)</f>
        <v>157767290</v>
      </c>
      <c r="G260" s="40">
        <f>E260+F260</f>
        <v>184915021.33999997</v>
      </c>
      <c r="H260" s="39">
        <f>SUM(H2:H258)</f>
        <v>145819065.77000007</v>
      </c>
      <c r="I260" s="40">
        <f>SUM(I2:I258)</f>
        <v>25068797.649999999</v>
      </c>
      <c r="J260" s="50">
        <f>I260/G260</f>
        <v>0.13556928727767575</v>
      </c>
      <c r="K260" s="51">
        <f>SUM(K2:K258)</f>
        <v>13882183.559999997</v>
      </c>
      <c r="L260" s="51">
        <f>SUM(L2:L258)</f>
        <v>4474094.5799999991</v>
      </c>
      <c r="M260" s="51">
        <f>SUM(M2:M258)</f>
        <v>7532408.4139999999</v>
      </c>
      <c r="N260" s="51">
        <f>SUM(N2:N258)</f>
        <v>6458102.7600000016</v>
      </c>
      <c r="O260" s="39">
        <f>SUM(O2:O258)</f>
        <v>18464605.754000004</v>
      </c>
      <c r="P260" s="38">
        <f>(O260)/F260</f>
        <v>0.11703697106035101</v>
      </c>
    </row>
    <row r="261" spans="1:16">
      <c r="E261" s="24"/>
      <c r="G261" s="24"/>
      <c r="K261" s="31"/>
      <c r="L261" s="31"/>
      <c r="M261" s="31"/>
      <c r="N261" s="31"/>
    </row>
    <row r="262" spans="1:16">
      <c r="E262" s="23"/>
      <c r="G262" s="23"/>
      <c r="K262" s="30"/>
      <c r="L262" s="30"/>
      <c r="M262" s="30"/>
      <c r="N262" s="30"/>
    </row>
    <row r="263" spans="1:16">
      <c r="E263" s="23"/>
      <c r="G263" s="23"/>
      <c r="K263" s="30"/>
      <c r="L263" s="30"/>
      <c r="M263" s="30"/>
      <c r="N263" s="30"/>
    </row>
    <row r="264" spans="1:16">
      <c r="E264" s="23"/>
      <c r="G264" s="23"/>
      <c r="K264" s="30"/>
      <c r="L264" s="30"/>
      <c r="M264" s="30"/>
      <c r="N264" s="30"/>
    </row>
    <row r="265" spans="1:16">
      <c r="E265" s="23"/>
      <c r="G265" s="23"/>
      <c r="K265" s="30"/>
      <c r="L265" s="30"/>
      <c r="M265" s="30"/>
      <c r="N265" s="30"/>
    </row>
    <row r="266" spans="1:16">
      <c r="E266" s="23"/>
      <c r="G266" s="23"/>
    </row>
    <row r="267" spans="1:16">
      <c r="E267" s="23"/>
      <c r="G267" s="23"/>
    </row>
    <row r="268" spans="1:16">
      <c r="E268" s="23"/>
      <c r="G268" s="23"/>
    </row>
    <row r="269" spans="1:16">
      <c r="E269" s="23"/>
      <c r="G269" s="23"/>
    </row>
    <row r="270" spans="1:16">
      <c r="E270" s="23"/>
      <c r="G270" s="23"/>
    </row>
    <row r="271" spans="1:16">
      <c r="E271" s="23"/>
      <c r="G271" s="23"/>
    </row>
    <row r="272" spans="1:16">
      <c r="E272" s="43"/>
      <c r="G272" s="43"/>
    </row>
    <row r="273" spans="5:7">
      <c r="E273" s="44"/>
      <c r="G273" s="44"/>
    </row>
    <row r="274" spans="5:7">
      <c r="E274" s="45"/>
      <c r="G274" s="45"/>
    </row>
    <row r="275" spans="5:7">
      <c r="E275" s="45"/>
      <c r="G275" s="45"/>
    </row>
    <row r="276" spans="5:7">
      <c r="E276" s="45"/>
      <c r="G276" s="45"/>
    </row>
    <row r="277" spans="5:7">
      <c r="E277" s="45"/>
      <c r="G277" s="45"/>
    </row>
    <row r="278" spans="5:7">
      <c r="E278" s="45"/>
      <c r="G278" s="45"/>
    </row>
    <row r="279" spans="5:7">
      <c r="E279" s="45"/>
      <c r="G279" s="45"/>
    </row>
    <row r="280" spans="5:7">
      <c r="E280" s="45"/>
      <c r="G280" s="45"/>
    </row>
    <row r="281" spans="5:7">
      <c r="E281" s="45"/>
      <c r="G281" s="45"/>
    </row>
    <row r="282" spans="5:7">
      <c r="E282" s="45"/>
      <c r="G282" s="45"/>
    </row>
  </sheetData>
  <autoFilter ref="A1:P1">
    <filterColumn colId="10"/>
    <filterColumn colId="11"/>
    <filterColumn colId="12"/>
    <filterColumn colId="13"/>
    <sortState ref="A2:T258">
      <sortCondition ref="A1"/>
    </sortState>
  </autoFilter>
  <printOptions gridLines="1"/>
  <pageMargins left="0.66" right="0.21" top="0.24" bottom="0.2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without schools not receiving $</vt:lpstr>
      <vt:lpstr>Sheet1!Print_Titles</vt:lpstr>
      <vt:lpstr>'without schools not receiving $'!Print_Titles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Reeve</dc:creator>
  <cp:lastModifiedBy>Tara Manthey</cp:lastModifiedBy>
  <cp:lastPrinted>2010-05-13T13:17:58Z</cp:lastPrinted>
  <dcterms:created xsi:type="dcterms:W3CDTF">2009-10-01T17:58:45Z</dcterms:created>
  <dcterms:modified xsi:type="dcterms:W3CDTF">2010-11-15T22:25:04Z</dcterms:modified>
</cp:coreProperties>
</file>